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30" windowWidth="12120" windowHeight="8220" tabRatio="940"/>
  </bookViews>
  <sheets>
    <sheet name="WDI_Standard_Order_Form" sheetId="12" r:id="rId1"/>
    <sheet name="OSC_Calcs" sheetId="5" r:id="rId2"/>
    <sheet name="Colors" sheetId="13" r:id="rId3"/>
    <sheet name="Stool_Template" sheetId="15" r:id="rId4"/>
    <sheet name="Round_top_Template" sheetId="17" r:id="rId5"/>
    <sheet name="Trapezoid_Sheet_v3" sheetId="16" r:id="rId6"/>
  </sheets>
  <definedNames>
    <definedName name="Clip">#REF!</definedName>
    <definedName name="JK">WDI_Standard_Order_Form!$A$2:$N$32</definedName>
    <definedName name="Label_Range_Area" localSheetId="1">OSC_Calcs!$A$8:$AS$23</definedName>
    <definedName name="Label_Range_Area">#REF!</definedName>
    <definedName name="Line_Link_for_Labels" comment="Link label line # too row in worksheet">#REF!</definedName>
    <definedName name="LS" comment="area to copy &amp; paste to production worksheet" localSheetId="0">WDI_Standard_Order_Form!$B$2:$N$32</definedName>
    <definedName name="Page1">WDI_Standard_Order_Form!$A$2:$X$32</definedName>
    <definedName name="Pallet">#REF!</definedName>
    <definedName name="_xlnm.Print_Area" localSheetId="2">Colors!$A$2:$L$29</definedName>
    <definedName name="_xlnm.Print_Area" localSheetId="1">OSC_Calcs!$B$9:$R$24</definedName>
    <definedName name="_xlnm.Print_Area" localSheetId="4">Round_top_Template!$A$2:$F$28</definedName>
    <definedName name="_xlnm.Print_Area" localSheetId="3">Stool_Template!$A$2:$F$28</definedName>
    <definedName name="_xlnm.Print_Area" localSheetId="5">Trapezoid_Sheet_v3!$B$4:$H$28</definedName>
    <definedName name="_xlnm.Print_Area" localSheetId="0">WDI_Standard_Order_Form!$E$9:$AB$34</definedName>
    <definedName name="_xlnm.Print_Titles" localSheetId="2">Colors!$1:$1</definedName>
    <definedName name="_xlnm.Print_Titles" localSheetId="1">OSC_Calcs!$A:$A,OSC_Calcs!$1:$8</definedName>
    <definedName name="_xlnm.Print_Titles" localSheetId="4">Round_top_Template!$1:$1</definedName>
    <definedName name="_xlnm.Print_Titles" localSheetId="3">Stool_Template!$1:$1</definedName>
    <definedName name="_xlnm.Print_Titles" localSheetId="5">Trapezoid_Sheet_v3!$A:$A,Trapezoid_Sheet_v3!$1:$3</definedName>
    <definedName name="_xlnm.Print_Titles" localSheetId="0">WDI_Standard_Order_Form!$A:$D,WDI_Standard_Order_Form!$1:$8</definedName>
  </definedNames>
  <calcPr calcId="145621" iterateDelta="1E-4"/>
</workbook>
</file>

<file path=xl/calcChain.xml><?xml version="1.0" encoding="utf-8"?>
<calcChain xmlns="http://schemas.openxmlformats.org/spreadsheetml/2006/main">
  <c r="C33" i="12" l="1"/>
  <c r="D33" i="12"/>
  <c r="U26" i="12" l="1"/>
  <c r="L11" i="12" l="1"/>
  <c r="M10" i="12"/>
  <c r="L10" i="12"/>
  <c r="M11" i="12" l="1"/>
  <c r="AO9" i="12" l="1"/>
  <c r="L13" i="12"/>
  <c r="L12" i="12"/>
  <c r="M12" i="12"/>
  <c r="M13" i="12" l="1"/>
  <c r="M21" i="12" l="1"/>
  <c r="L21" i="12"/>
  <c r="L24" i="12" l="1"/>
  <c r="L23" i="12"/>
  <c r="L22" i="12"/>
  <c r="L19" i="12" l="1"/>
  <c r="L18" i="12"/>
  <c r="L17" i="12"/>
  <c r="L16" i="12"/>
  <c r="L15" i="12"/>
  <c r="L14" i="12"/>
  <c r="M14" i="12"/>
  <c r="N5" i="12"/>
  <c r="M3" i="12"/>
  <c r="O24" i="12"/>
  <c r="O23" i="12"/>
  <c r="O22" i="12"/>
  <c r="O21" i="12"/>
  <c r="M15" i="12" l="1"/>
  <c r="CQ24" i="12"/>
  <c r="CQ23" i="12"/>
  <c r="CQ22" i="12"/>
  <c r="CQ21" i="12"/>
  <c r="CL21" i="12" s="1"/>
  <c r="CO19" i="12"/>
  <c r="CO18" i="12"/>
  <c r="CO17" i="12"/>
  <c r="CO16" i="12"/>
  <c r="CO15" i="12"/>
  <c r="CO14" i="12"/>
  <c r="CO13" i="12"/>
  <c r="CO12" i="12"/>
  <c r="CO11" i="12"/>
  <c r="CO10" i="12"/>
  <c r="CO9" i="12"/>
  <c r="CP24" i="12"/>
  <c r="CK24" i="12" s="1"/>
  <c r="CP23" i="12"/>
  <c r="CK23" i="12" s="1"/>
  <c r="CP22" i="12"/>
  <c r="CK22" i="12" s="1"/>
  <c r="CP21" i="12"/>
  <c r="CK21" i="12" s="1"/>
  <c r="CQ19" i="12"/>
  <c r="CQ18" i="12"/>
  <c r="CQ17" i="12"/>
  <c r="CQ16" i="12"/>
  <c r="CQ15" i="12"/>
  <c r="CQ14" i="12"/>
  <c r="CQ13" i="12"/>
  <c r="CQ12" i="12"/>
  <c r="CQ11" i="12"/>
  <c r="CQ10" i="12"/>
  <c r="CQ9" i="12"/>
  <c r="CP19" i="12"/>
  <c r="CP18" i="12"/>
  <c r="CP17" i="12"/>
  <c r="CP16" i="12"/>
  <c r="CP15" i="12"/>
  <c r="CP14" i="12"/>
  <c r="CP13" i="12"/>
  <c r="CP12" i="12"/>
  <c r="CP11" i="12"/>
  <c r="CP10" i="12"/>
  <c r="CP9" i="12"/>
  <c r="M16" i="12" l="1"/>
  <c r="W26" i="12"/>
  <c r="V26" i="12"/>
  <c r="T26" i="12"/>
  <c r="AA20" i="12"/>
  <c r="M17" i="12" l="1"/>
  <c r="CJ24" i="12"/>
  <c r="CJ23" i="12"/>
  <c r="CJ22" i="12"/>
  <c r="CJ21" i="12"/>
  <c r="CJ19" i="12"/>
  <c r="CJ18" i="12"/>
  <c r="CJ17" i="12"/>
  <c r="CJ16" i="12"/>
  <c r="CJ15" i="12"/>
  <c r="CJ14" i="12"/>
  <c r="CJ13" i="12"/>
  <c r="CJ12" i="12"/>
  <c r="CJ11" i="12"/>
  <c r="CJ10" i="12"/>
  <c r="CJ9" i="12"/>
  <c r="M18" i="12" l="1"/>
  <c r="Y38" i="12"/>
  <c r="M19" i="12" l="1"/>
  <c r="M22" i="12" l="1"/>
  <c r="M23" i="12" s="1"/>
  <c r="M24" i="12" s="1"/>
  <c r="X24" i="12" l="1"/>
  <c r="X23" i="12"/>
  <c r="X22" i="12"/>
  <c r="X21" i="12"/>
  <c r="AY19" i="12" l="1"/>
  <c r="AY18" i="12"/>
  <c r="AY17" i="12"/>
  <c r="AY16" i="12"/>
  <c r="AY15" i="12"/>
  <c r="AY14" i="12"/>
  <c r="AY13" i="12"/>
  <c r="AY12" i="12"/>
  <c r="AY11" i="12"/>
  <c r="AY10" i="12"/>
  <c r="AY9" i="12"/>
  <c r="Y4" i="16" l="1"/>
  <c r="Z4" i="16" s="1"/>
  <c r="AB4" i="16" l="1"/>
  <c r="F4" i="16" s="1"/>
  <c r="G4" i="16"/>
  <c r="G5" i="16" s="1"/>
  <c r="AA4" i="16"/>
  <c r="AX7" i="5" l="1"/>
  <c r="AY7" i="5"/>
  <c r="AZ7" i="5"/>
  <c r="B9" i="5"/>
  <c r="AU9" i="5"/>
  <c r="AY9" i="5" s="1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I4" i="12"/>
  <c r="BJ4" i="12"/>
  <c r="BK4" i="12"/>
  <c r="BN4" i="12"/>
  <c r="BO4" i="12"/>
  <c r="BP4" i="12"/>
  <c r="BQ4" i="12"/>
  <c r="BR4" i="12"/>
  <c r="BS4" i="12"/>
  <c r="BT4" i="12"/>
  <c r="BU4" i="12"/>
  <c r="BV4" i="12"/>
  <c r="BW4" i="12"/>
  <c r="BX4" i="12"/>
  <c r="BY4" i="12"/>
  <c r="BZ4" i="12"/>
  <c r="CA4" i="12"/>
  <c r="O5" i="12"/>
  <c r="AX9" i="12"/>
  <c r="BT9" i="12" s="1"/>
  <c r="Q9" i="12"/>
  <c r="AH9" i="12"/>
  <c r="AI9" i="12" s="1"/>
  <c r="AL9" i="12"/>
  <c r="AM9" i="12"/>
  <c r="BI9" i="12" s="1"/>
  <c r="AN9" i="12"/>
  <c r="BJ9" i="12" s="1"/>
  <c r="BK9" i="12"/>
  <c r="AP9" i="12"/>
  <c r="BL9" i="12" s="1"/>
  <c r="AQ9" i="12"/>
  <c r="BM9" i="12" s="1"/>
  <c r="AR9" i="12"/>
  <c r="BN9" i="12" s="1"/>
  <c r="AS9" i="12"/>
  <c r="BO9" i="12" s="1"/>
  <c r="AT9" i="12"/>
  <c r="AU9" i="12"/>
  <c r="BQ9" i="12" s="1"/>
  <c r="AW9" i="12"/>
  <c r="BS9" i="12" s="1"/>
  <c r="BU9" i="12"/>
  <c r="BA9" i="12"/>
  <c r="BW9" i="12" s="1"/>
  <c r="BR9" i="12"/>
  <c r="BV9" i="12"/>
  <c r="BX9" i="12"/>
  <c r="BZ9" i="12"/>
  <c r="CA9" i="12"/>
  <c r="Q10" i="12"/>
  <c r="AH10" i="12"/>
  <c r="AI10" i="12" s="1"/>
  <c r="AL10" i="12"/>
  <c r="AM10" i="12"/>
  <c r="BI10" i="12" s="1"/>
  <c r="AN10" i="12"/>
  <c r="BJ10" i="12" s="1"/>
  <c r="AO10" i="12"/>
  <c r="BK10" i="12" s="1"/>
  <c r="AP10" i="12"/>
  <c r="BL10" i="12" s="1"/>
  <c r="AQ10" i="12"/>
  <c r="BM10" i="12" s="1"/>
  <c r="AR10" i="12"/>
  <c r="BN10" i="12" s="1"/>
  <c r="AS10" i="12"/>
  <c r="AT10" i="12"/>
  <c r="BP10" i="12" s="1"/>
  <c r="AU10" i="12"/>
  <c r="BQ10" i="12" s="1"/>
  <c r="AW10" i="12"/>
  <c r="BS10" i="12" s="1"/>
  <c r="BO10" i="12"/>
  <c r="BR10" i="12"/>
  <c r="BV10" i="12"/>
  <c r="BX10" i="12"/>
  <c r="BZ10" i="12"/>
  <c r="CA10" i="12"/>
  <c r="BC11" i="12"/>
  <c r="Q11" i="12"/>
  <c r="AH11" i="12"/>
  <c r="AI11" i="12" s="1"/>
  <c r="AL11" i="12"/>
  <c r="AM11" i="12"/>
  <c r="BI11" i="12" s="1"/>
  <c r="AN11" i="12"/>
  <c r="BJ11" i="12" s="1"/>
  <c r="AO11" i="12"/>
  <c r="BK11" i="12" s="1"/>
  <c r="AP11" i="12"/>
  <c r="BL11" i="12" s="1"/>
  <c r="AQ11" i="12"/>
  <c r="BM11" i="12" s="1"/>
  <c r="AR11" i="12"/>
  <c r="BN11" i="12" s="1"/>
  <c r="AS11" i="12"/>
  <c r="BO11" i="12" s="1"/>
  <c r="AT11" i="12"/>
  <c r="BP11" i="12" s="1"/>
  <c r="AU11" i="12"/>
  <c r="BQ11" i="12" s="1"/>
  <c r="AW11" i="12"/>
  <c r="BS11" i="12" s="1"/>
  <c r="AX11" i="12"/>
  <c r="BT11" i="12" s="1"/>
  <c r="BR11" i="12"/>
  <c r="BV11" i="12"/>
  <c r="BX11" i="12"/>
  <c r="BZ11" i="12"/>
  <c r="CA11" i="12"/>
  <c r="BC12" i="12"/>
  <c r="BY12" i="12" s="1"/>
  <c r="Q12" i="12"/>
  <c r="AH12" i="12"/>
  <c r="AI12" i="12" s="1"/>
  <c r="AL12" i="12"/>
  <c r="AM12" i="12"/>
  <c r="BI12" i="12" s="1"/>
  <c r="AN12" i="12"/>
  <c r="BJ12" i="12" s="1"/>
  <c r="AO12" i="12"/>
  <c r="BK12" i="12" s="1"/>
  <c r="AP12" i="12"/>
  <c r="BL12" i="12" s="1"/>
  <c r="AQ12" i="12"/>
  <c r="BM12" i="12" s="1"/>
  <c r="AR12" i="12"/>
  <c r="BN12" i="12" s="1"/>
  <c r="AS12" i="12"/>
  <c r="BO12" i="12" s="1"/>
  <c r="AT12" i="12"/>
  <c r="BP12" i="12" s="1"/>
  <c r="AU12" i="12"/>
  <c r="BQ12" i="12" s="1"/>
  <c r="AW12" i="12"/>
  <c r="BS12" i="12" s="1"/>
  <c r="AX12" i="12"/>
  <c r="BT12" i="12" s="1"/>
  <c r="BR12" i="12"/>
  <c r="BV12" i="12"/>
  <c r="BX12" i="12"/>
  <c r="BZ12" i="12"/>
  <c r="CA12" i="12"/>
  <c r="BC13" i="12"/>
  <c r="BY13" i="12" s="1"/>
  <c r="Q13" i="12"/>
  <c r="AH13" i="12"/>
  <c r="AI13" i="12" s="1"/>
  <c r="AL13" i="12"/>
  <c r="AM13" i="12"/>
  <c r="BI13" i="12" s="1"/>
  <c r="AN13" i="12"/>
  <c r="BJ13" i="12" s="1"/>
  <c r="AO13" i="12"/>
  <c r="BK13" i="12" s="1"/>
  <c r="AP13" i="12"/>
  <c r="AQ13" i="12"/>
  <c r="BM13" i="12" s="1"/>
  <c r="AR13" i="12"/>
  <c r="BN13" i="12" s="1"/>
  <c r="AS13" i="12"/>
  <c r="BO13" i="12" s="1"/>
  <c r="AT13" i="12"/>
  <c r="BP13" i="12" s="1"/>
  <c r="AU13" i="12"/>
  <c r="BQ13" i="12" s="1"/>
  <c r="AW13" i="12"/>
  <c r="BS13" i="12" s="1"/>
  <c r="AX13" i="12"/>
  <c r="BT13" i="12" s="1"/>
  <c r="BL13" i="12"/>
  <c r="BR13" i="12"/>
  <c r="BV13" i="12"/>
  <c r="BX13" i="12"/>
  <c r="BZ13" i="12"/>
  <c r="CA13" i="12"/>
  <c r="BC14" i="12"/>
  <c r="BY14" i="12" s="1"/>
  <c r="Q14" i="12"/>
  <c r="AH14" i="12"/>
  <c r="AI14" i="12" s="1"/>
  <c r="AL14" i="12"/>
  <c r="AM14" i="12"/>
  <c r="BI14" i="12" s="1"/>
  <c r="AN14" i="12"/>
  <c r="BJ14" i="12" s="1"/>
  <c r="AO14" i="12"/>
  <c r="BK14" i="12" s="1"/>
  <c r="AP14" i="12"/>
  <c r="BL14" i="12" s="1"/>
  <c r="AQ14" i="12"/>
  <c r="BM14" i="12" s="1"/>
  <c r="AR14" i="12"/>
  <c r="BN14" i="12" s="1"/>
  <c r="AS14" i="12"/>
  <c r="BO14" i="12" s="1"/>
  <c r="AT14" i="12"/>
  <c r="BP14" i="12" s="1"/>
  <c r="AU14" i="12"/>
  <c r="BQ14" i="12" s="1"/>
  <c r="AW14" i="12"/>
  <c r="BS14" i="12" s="1"/>
  <c r="AX14" i="12"/>
  <c r="BT14" i="12" s="1"/>
  <c r="BR14" i="12"/>
  <c r="BV14" i="12"/>
  <c r="BX14" i="12"/>
  <c r="BZ14" i="12"/>
  <c r="CA14" i="12"/>
  <c r="Q15" i="12"/>
  <c r="AH15" i="12"/>
  <c r="AI15" i="12" s="1"/>
  <c r="AL15" i="12"/>
  <c r="AM15" i="12"/>
  <c r="BI15" i="12" s="1"/>
  <c r="AN15" i="12"/>
  <c r="BJ15" i="12" s="1"/>
  <c r="AO15" i="12"/>
  <c r="BK15" i="12" s="1"/>
  <c r="AP15" i="12"/>
  <c r="BL15" i="12" s="1"/>
  <c r="AQ15" i="12"/>
  <c r="BM15" i="12" s="1"/>
  <c r="AR15" i="12"/>
  <c r="BN15" i="12" s="1"/>
  <c r="AS15" i="12"/>
  <c r="BO15" i="12" s="1"/>
  <c r="AT15" i="12"/>
  <c r="BP15" i="12" s="1"/>
  <c r="AU15" i="12"/>
  <c r="BQ15" i="12" s="1"/>
  <c r="AW15" i="12"/>
  <c r="BS15" i="12" s="1"/>
  <c r="BR15" i="12"/>
  <c r="BV15" i="12"/>
  <c r="BX15" i="12"/>
  <c r="BZ15" i="12"/>
  <c r="CA15" i="12"/>
  <c r="AX16" i="12"/>
  <c r="BT16" i="12" s="1"/>
  <c r="Q16" i="12"/>
  <c r="AH16" i="12"/>
  <c r="AI16" i="12" s="1"/>
  <c r="AL16" i="12"/>
  <c r="AM16" i="12"/>
  <c r="BI16" i="12" s="1"/>
  <c r="AN16" i="12"/>
  <c r="BJ16" i="12" s="1"/>
  <c r="AO16" i="12"/>
  <c r="BK16" i="12" s="1"/>
  <c r="AP16" i="12"/>
  <c r="BL16" i="12" s="1"/>
  <c r="AQ16" i="12"/>
  <c r="BM16" i="12" s="1"/>
  <c r="AR16" i="12"/>
  <c r="BN16" i="12" s="1"/>
  <c r="AS16" i="12"/>
  <c r="BO16" i="12" s="1"/>
  <c r="AT16" i="12"/>
  <c r="BP16" i="12" s="1"/>
  <c r="AU16" i="12"/>
  <c r="BQ16" i="12" s="1"/>
  <c r="AW16" i="12"/>
  <c r="BS16" i="12" s="1"/>
  <c r="BC16" i="12"/>
  <c r="BY16" i="12" s="1"/>
  <c r="BR16" i="12"/>
  <c r="BV16" i="12"/>
  <c r="BX16" i="12"/>
  <c r="BZ16" i="12"/>
  <c r="CA16" i="12"/>
  <c r="Q17" i="12"/>
  <c r="AH17" i="12"/>
  <c r="AI17" i="12" s="1"/>
  <c r="AL17" i="12"/>
  <c r="AM17" i="12"/>
  <c r="BI17" i="12" s="1"/>
  <c r="AN17" i="12"/>
  <c r="BJ17" i="12" s="1"/>
  <c r="AO17" i="12"/>
  <c r="BK17" i="12" s="1"/>
  <c r="AP17" i="12"/>
  <c r="BL17" i="12" s="1"/>
  <c r="AQ17" i="12"/>
  <c r="BM17" i="12" s="1"/>
  <c r="AR17" i="12"/>
  <c r="BN17" i="12" s="1"/>
  <c r="AS17" i="12"/>
  <c r="BO17" i="12" s="1"/>
  <c r="AT17" i="12"/>
  <c r="BP17" i="12" s="1"/>
  <c r="AU17" i="12"/>
  <c r="BQ17" i="12" s="1"/>
  <c r="AW17" i="12"/>
  <c r="BS17" i="12" s="1"/>
  <c r="BR17" i="12"/>
  <c r="BV17" i="12"/>
  <c r="BX17" i="12"/>
  <c r="BZ17" i="12"/>
  <c r="CA17" i="12"/>
  <c r="Q18" i="12"/>
  <c r="AH18" i="12"/>
  <c r="AI18" i="12" s="1"/>
  <c r="AL18" i="12"/>
  <c r="AM18" i="12"/>
  <c r="BI18" i="12" s="1"/>
  <c r="AN18" i="12"/>
  <c r="BJ18" i="12" s="1"/>
  <c r="AO18" i="12"/>
  <c r="BK18" i="12" s="1"/>
  <c r="AP18" i="12"/>
  <c r="BL18" i="12" s="1"/>
  <c r="AQ18" i="12"/>
  <c r="BM18" i="12" s="1"/>
  <c r="AR18" i="12"/>
  <c r="BN18" i="12" s="1"/>
  <c r="AS18" i="12"/>
  <c r="BO18" i="12" s="1"/>
  <c r="AT18" i="12"/>
  <c r="BP18" i="12" s="1"/>
  <c r="AU18" i="12"/>
  <c r="BQ18" i="12" s="1"/>
  <c r="AW18" i="12"/>
  <c r="BS18" i="12" s="1"/>
  <c r="BR18" i="12"/>
  <c r="BV18" i="12"/>
  <c r="BX18" i="12"/>
  <c r="BZ18" i="12"/>
  <c r="CA18" i="12"/>
  <c r="Q19" i="12"/>
  <c r="AH19" i="12"/>
  <c r="AI19" i="12" s="1"/>
  <c r="AL19" i="12"/>
  <c r="AM19" i="12"/>
  <c r="BI19" i="12" s="1"/>
  <c r="AN19" i="12"/>
  <c r="BJ19" i="12" s="1"/>
  <c r="AO19" i="12"/>
  <c r="BK19" i="12" s="1"/>
  <c r="AP19" i="12"/>
  <c r="BL19" i="12" s="1"/>
  <c r="AQ19" i="12"/>
  <c r="BM19" i="12" s="1"/>
  <c r="AR19" i="12"/>
  <c r="BN19" i="12" s="1"/>
  <c r="AS19" i="12"/>
  <c r="BO19" i="12" s="1"/>
  <c r="AT19" i="12"/>
  <c r="BP19" i="12" s="1"/>
  <c r="AU19" i="12"/>
  <c r="BQ19" i="12" s="1"/>
  <c r="AW19" i="12"/>
  <c r="BS19" i="12" s="1"/>
  <c r="BR19" i="12"/>
  <c r="BV19" i="12"/>
  <c r="BX19" i="12"/>
  <c r="BZ19" i="12"/>
  <c r="CA19" i="12"/>
  <c r="Q21" i="12"/>
  <c r="CI21" i="12" s="1"/>
  <c r="AH21" i="12"/>
  <c r="AI21" i="12" s="1"/>
  <c r="AL21" i="12"/>
  <c r="AR21" i="12"/>
  <c r="BN21" i="12" s="1"/>
  <c r="AS21" i="12"/>
  <c r="BO21" i="12" s="1"/>
  <c r="AT21" i="12"/>
  <c r="BP21" i="12" s="1"/>
  <c r="AU21" i="12"/>
  <c r="BQ21" i="12" s="1"/>
  <c r="AW21" i="12"/>
  <c r="BS21" i="12" s="1"/>
  <c r="BI21" i="12"/>
  <c r="BJ21" i="12"/>
  <c r="BK21" i="12"/>
  <c r="BL21" i="12"/>
  <c r="BM21" i="12"/>
  <c r="BR21" i="12"/>
  <c r="BT21" i="12"/>
  <c r="BV21" i="12"/>
  <c r="BX21" i="12"/>
  <c r="BY21" i="12"/>
  <c r="BZ21" i="12"/>
  <c r="CA21" i="12"/>
  <c r="Q22" i="12"/>
  <c r="CI22" i="12" s="1"/>
  <c r="AH22" i="12"/>
  <c r="AI22" i="12" s="1"/>
  <c r="AL22" i="12"/>
  <c r="AR22" i="12"/>
  <c r="BN22" i="12" s="1"/>
  <c r="AS22" i="12"/>
  <c r="AT22" i="12"/>
  <c r="BP22" i="12" s="1"/>
  <c r="AU22" i="12"/>
  <c r="BQ22" i="12" s="1"/>
  <c r="AW22" i="12"/>
  <c r="BS22" i="12" s="1"/>
  <c r="BI22" i="12"/>
  <c r="BJ22" i="12"/>
  <c r="BK22" i="12"/>
  <c r="BL22" i="12"/>
  <c r="BM22" i="12"/>
  <c r="BR22" i="12"/>
  <c r="BT22" i="12"/>
  <c r="BV22" i="12"/>
  <c r="BX22" i="12"/>
  <c r="BY22" i="12"/>
  <c r="BZ22" i="12"/>
  <c r="CA22" i="12"/>
  <c r="Q23" i="12"/>
  <c r="CI23" i="12" s="1"/>
  <c r="AH23" i="12"/>
  <c r="AI23" i="12" s="1"/>
  <c r="AL23" i="12"/>
  <c r="AR23" i="12"/>
  <c r="BN23" i="12" s="1"/>
  <c r="AS23" i="12"/>
  <c r="BO23" i="12" s="1"/>
  <c r="AT23" i="12"/>
  <c r="BP23" i="12" s="1"/>
  <c r="AU23" i="12"/>
  <c r="BQ23" i="12" s="1"/>
  <c r="AW23" i="12"/>
  <c r="BS23" i="12" s="1"/>
  <c r="BI23" i="12"/>
  <c r="BJ23" i="12"/>
  <c r="BK23" i="12"/>
  <c r="BL23" i="12"/>
  <c r="BM23" i="12"/>
  <c r="BR23" i="12"/>
  <c r="BT23" i="12"/>
  <c r="BV23" i="12"/>
  <c r="BX23" i="12"/>
  <c r="BY23" i="12"/>
  <c r="BZ23" i="12"/>
  <c r="CA23" i="12"/>
  <c r="Q24" i="12"/>
  <c r="CI24" i="12" s="1"/>
  <c r="AH24" i="12"/>
  <c r="AI24" i="12" s="1"/>
  <c r="AL24" i="12"/>
  <c r="AR24" i="12"/>
  <c r="BN24" i="12" s="1"/>
  <c r="AS24" i="12"/>
  <c r="BO24" i="12" s="1"/>
  <c r="AT24" i="12"/>
  <c r="BP24" i="12" s="1"/>
  <c r="AU24" i="12"/>
  <c r="BQ24" i="12" s="1"/>
  <c r="AW24" i="12"/>
  <c r="BS24" i="12" s="1"/>
  <c r="BI24" i="12"/>
  <c r="BJ24" i="12"/>
  <c r="BK24" i="12"/>
  <c r="BL24" i="12"/>
  <c r="BM24" i="12"/>
  <c r="BR24" i="12"/>
  <c r="BT24" i="12"/>
  <c r="BV24" i="12"/>
  <c r="BX24" i="12"/>
  <c r="BY24" i="12"/>
  <c r="BZ24" i="12"/>
  <c r="CA24" i="12"/>
  <c r="CC25" i="12"/>
  <c r="A38" i="12"/>
  <c r="B38" i="12"/>
  <c r="C38" i="12"/>
  <c r="G38" i="12"/>
  <c r="H38" i="12"/>
  <c r="I38" i="12"/>
  <c r="J38" i="12"/>
  <c r="K38" i="12"/>
  <c r="L38" i="12"/>
  <c r="N38" i="12"/>
  <c r="O38" i="12"/>
  <c r="P38" i="12"/>
  <c r="Q38" i="12"/>
  <c r="R38" i="12"/>
  <c r="W38" i="12"/>
  <c r="X38" i="12"/>
  <c r="AC38" i="12"/>
  <c r="AD38" i="12"/>
  <c r="AH38" i="12"/>
  <c r="AI38" i="12"/>
  <c r="W44" i="12"/>
  <c r="W45" i="12"/>
  <c r="W46" i="12"/>
  <c r="C4" i="5"/>
  <c r="BC15" i="12"/>
  <c r="BY15" i="12" s="1"/>
  <c r="AX15" i="12"/>
  <c r="BT15" i="12" s="1"/>
  <c r="BO22" i="12"/>
  <c r="BC19" i="12"/>
  <c r="BY19" i="12" s="1"/>
  <c r="AX19" i="12"/>
  <c r="BT19" i="12" s="1"/>
  <c r="AX10" i="12"/>
  <c r="BT10" i="12" s="1"/>
  <c r="BC10" i="12"/>
  <c r="BY10" i="12" s="1"/>
  <c r="BC9" i="12"/>
  <c r="CH19" i="12" l="1"/>
  <c r="CI19" i="12" s="1"/>
  <c r="CH17" i="12"/>
  <c r="CI17" i="12" s="1"/>
  <c r="CM17" i="12" s="1"/>
  <c r="CH15" i="12"/>
  <c r="CI15" i="12" s="1"/>
  <c r="CH14" i="12"/>
  <c r="CI14" i="12" s="1"/>
  <c r="CM14" i="12" s="1"/>
  <c r="CH18" i="12"/>
  <c r="CI18" i="12" s="1"/>
  <c r="CH16" i="12"/>
  <c r="CI16" i="12" s="1"/>
  <c r="CM16" i="12" s="1"/>
  <c r="BP9" i="12"/>
  <c r="CS9" i="12"/>
  <c r="CL24" i="12"/>
  <c r="CM24" i="12"/>
  <c r="CL23" i="12"/>
  <c r="CM23" i="12"/>
  <c r="CL22" i="12"/>
  <c r="CN22" i="12" s="1"/>
  <c r="AA22" i="12" s="1"/>
  <c r="CM22" i="12"/>
  <c r="CM21" i="12"/>
  <c r="CM19" i="12"/>
  <c r="CM18" i="12"/>
  <c r="CM15" i="12"/>
  <c r="CH13" i="12"/>
  <c r="CI13" i="12" s="1"/>
  <c r="CH12" i="12"/>
  <c r="CI12" i="12" s="1"/>
  <c r="CH11" i="12"/>
  <c r="CI11" i="12" s="1"/>
  <c r="CH10" i="12"/>
  <c r="CI10" i="12" s="1"/>
  <c r="CH9" i="12"/>
  <c r="CI9" i="12" s="1"/>
  <c r="AU10" i="5"/>
  <c r="AU11" i="5" s="1"/>
  <c r="BA10" i="12"/>
  <c r="BW10" i="12" s="1"/>
  <c r="BU10" i="12"/>
  <c r="C3" i="5"/>
  <c r="C5" i="5"/>
  <c r="C2" i="5"/>
  <c r="BY11" i="12"/>
  <c r="BC17" i="12"/>
  <c r="BY17" i="12" s="1"/>
  <c r="AX17" i="12"/>
  <c r="BT17" i="12" s="1"/>
  <c r="D24" i="5"/>
  <c r="Q26" i="12"/>
  <c r="Q41" i="12" s="1"/>
  <c r="AY10" i="5"/>
  <c r="AX9" i="5"/>
  <c r="C9" i="5" s="1"/>
  <c r="AZ9" i="5"/>
  <c r="BY9" i="12"/>
  <c r="BG9" i="12"/>
  <c r="BC18" i="12"/>
  <c r="BY18" i="12" s="1"/>
  <c r="AX18" i="12"/>
  <c r="AY11" i="5"/>
  <c r="AX11" i="5"/>
  <c r="CL13" i="12" l="1"/>
  <c r="CK13" i="12"/>
  <c r="CL14" i="12"/>
  <c r="CK14" i="12"/>
  <c r="CN14" i="12" s="1"/>
  <c r="AA14" i="12" s="1"/>
  <c r="CL17" i="12"/>
  <c r="CK17" i="12"/>
  <c r="CN17" i="12" s="1"/>
  <c r="AA17" i="12" s="1"/>
  <c r="CL18" i="12"/>
  <c r="CK18" i="12"/>
  <c r="CL16" i="12"/>
  <c r="CK16" i="12"/>
  <c r="CL15" i="12"/>
  <c r="CK15" i="12"/>
  <c r="CL19" i="12"/>
  <c r="CK19" i="12"/>
  <c r="CN19" i="12" s="1"/>
  <c r="AA19" i="12" s="1"/>
  <c r="CL12" i="12"/>
  <c r="CK12" i="12"/>
  <c r="CL11" i="12"/>
  <c r="CK11" i="12"/>
  <c r="CL10" i="12"/>
  <c r="CK10" i="12"/>
  <c r="CL9" i="12"/>
  <c r="CK9" i="12"/>
  <c r="CN15" i="12"/>
  <c r="AA15" i="12" s="1"/>
  <c r="CN24" i="12"/>
  <c r="AA24" i="12" s="1"/>
  <c r="CN21" i="12"/>
  <c r="AA21" i="12" s="1"/>
  <c r="CN23" i="12"/>
  <c r="AA23" i="12" s="1"/>
  <c r="CM10" i="12"/>
  <c r="CM12" i="12"/>
  <c r="CN18" i="12"/>
  <c r="AA18" i="12" s="1"/>
  <c r="CM11" i="12"/>
  <c r="CM13" i="12"/>
  <c r="CN13" i="12" s="1"/>
  <c r="AA13" i="12" s="1"/>
  <c r="CC9" i="12"/>
  <c r="O9" i="12" s="1"/>
  <c r="CM9" i="12"/>
  <c r="AZ11" i="5"/>
  <c r="AX10" i="5"/>
  <c r="AZ10" i="5"/>
  <c r="AU12" i="5"/>
  <c r="AU13" i="5" s="1"/>
  <c r="CC10" i="12"/>
  <c r="O10" i="12" s="1"/>
  <c r="BG10" i="12"/>
  <c r="BA11" i="12"/>
  <c r="BW11" i="12" s="1"/>
  <c r="X42" i="12"/>
  <c r="AZ12" i="5"/>
  <c r="BT18" i="12"/>
  <c r="CN16" i="12" l="1"/>
  <c r="AA16" i="12" s="1"/>
  <c r="CN9" i="12"/>
  <c r="AA9" i="12" s="1"/>
  <c r="CN10" i="12"/>
  <c r="AA10" i="12" s="1"/>
  <c r="CN12" i="12"/>
  <c r="AA12" i="12" s="1"/>
  <c r="CN11" i="12"/>
  <c r="AA11" i="12" s="1"/>
  <c r="AX12" i="5"/>
  <c r="AY12" i="5"/>
  <c r="BU12" i="12"/>
  <c r="BA12" i="12"/>
  <c r="BW12" i="12" s="1"/>
  <c r="BU11" i="12"/>
  <c r="CC11" i="12" s="1"/>
  <c r="O11" i="12" s="1"/>
  <c r="BG11" i="12"/>
  <c r="AY13" i="5"/>
  <c r="AU14" i="5"/>
  <c r="AZ13" i="5"/>
  <c r="AX13" i="5"/>
  <c r="AA26" i="12" l="1"/>
  <c r="CC12" i="12"/>
  <c r="O12" i="12" s="1"/>
  <c r="BA13" i="12"/>
  <c r="BW13" i="12" s="1"/>
  <c r="BU13" i="12"/>
  <c r="BG12" i="12"/>
  <c r="BA14" i="12"/>
  <c r="BW14" i="12" s="1"/>
  <c r="AY14" i="5"/>
  <c r="AZ14" i="5"/>
  <c r="AX14" i="5"/>
  <c r="AU15" i="5"/>
  <c r="CC13" i="12" l="1"/>
  <c r="O13" i="12" s="1"/>
  <c r="BG13" i="12"/>
  <c r="BU14" i="12"/>
  <c r="CC14" i="12" s="1"/>
  <c r="O14" i="12" s="1"/>
  <c r="BG14" i="12"/>
  <c r="BA15" i="12"/>
  <c r="BW15" i="12" s="1"/>
  <c r="AU16" i="5"/>
  <c r="AZ15" i="5"/>
  <c r="AY15" i="5"/>
  <c r="AX15" i="5"/>
  <c r="X44" i="12" l="1"/>
  <c r="BG15" i="12"/>
  <c r="BU15" i="12"/>
  <c r="CC15" i="12" s="1"/>
  <c r="O15" i="12" s="1"/>
  <c r="BA16" i="12"/>
  <c r="BW16" i="12" s="1"/>
  <c r="AX16" i="5"/>
  <c r="AY16" i="5"/>
  <c r="AZ16" i="5"/>
  <c r="AU17" i="5"/>
  <c r="S26" i="12" l="1"/>
  <c r="X46" i="12"/>
  <c r="BU16" i="12"/>
  <c r="CC16" i="12" s="1"/>
  <c r="O16" i="12" s="1"/>
  <c r="BG16" i="12"/>
  <c r="BA17" i="12"/>
  <c r="BW17" i="12" s="1"/>
  <c r="AX17" i="5"/>
  <c r="AY17" i="5"/>
  <c r="AZ17" i="5"/>
  <c r="AU18" i="5"/>
  <c r="BU17" i="12" l="1"/>
  <c r="CC17" i="12" s="1"/>
  <c r="O17" i="12" s="1"/>
  <c r="BG17" i="12"/>
  <c r="BA18" i="12"/>
  <c r="BW18" i="12" s="1"/>
  <c r="AZ18" i="5"/>
  <c r="AX18" i="5"/>
  <c r="AU19" i="5"/>
  <c r="AY18" i="5"/>
  <c r="AY21" i="12" l="1"/>
  <c r="BA19" i="12"/>
  <c r="BW19" i="12" s="1"/>
  <c r="BU18" i="12"/>
  <c r="CC18" i="12" s="1"/>
  <c r="O18" i="12" s="1"/>
  <c r="BG18" i="12"/>
  <c r="AY19" i="5"/>
  <c r="AU20" i="5"/>
  <c r="AX19" i="5"/>
  <c r="AZ19" i="5"/>
  <c r="AY22" i="12" l="1"/>
  <c r="BA21" i="12"/>
  <c r="BW21" i="12" s="1"/>
  <c r="BU19" i="12"/>
  <c r="CC19" i="12" s="1"/>
  <c r="O19" i="12" s="1"/>
  <c r="BG19" i="12"/>
  <c r="AU21" i="5"/>
  <c r="AZ20" i="5"/>
  <c r="AY20" i="5"/>
  <c r="AX20" i="5"/>
  <c r="X45" i="12" l="1"/>
  <c r="AY23" i="12"/>
  <c r="BA22" i="12"/>
  <c r="BW22" i="12" s="1"/>
  <c r="BU21" i="12"/>
  <c r="CC21" i="12" s="1"/>
  <c r="BG21" i="12"/>
  <c r="AU22" i="5"/>
  <c r="AZ21" i="5"/>
  <c r="AY21" i="5"/>
  <c r="AX21" i="5"/>
  <c r="BG22" i="12" l="1"/>
  <c r="BU22" i="12"/>
  <c r="CC22" i="12" s="1"/>
  <c r="BA23" i="12"/>
  <c r="BW23" i="12" s="1"/>
  <c r="AY24" i="12"/>
  <c r="AX22" i="5"/>
  <c r="AY22" i="5"/>
  <c r="AZ22" i="5"/>
  <c r="AU23" i="5"/>
  <c r="BU23" i="12" l="1"/>
  <c r="CC23" i="12" s="1"/>
  <c r="BG23" i="12"/>
  <c r="BA24" i="12"/>
  <c r="BW24" i="12" s="1"/>
  <c r="AY23" i="5"/>
  <c r="AX23" i="5"/>
  <c r="AZ23" i="5"/>
  <c r="BG24" i="12" l="1"/>
  <c r="BU24" i="12"/>
  <c r="CC24" i="12" s="1"/>
  <c r="X9" i="12" l="1"/>
  <c r="X13" i="12" l="1"/>
  <c r="X14" i="12"/>
  <c r="X18" i="12"/>
  <c r="X15" i="12" l="1"/>
  <c r="X11" i="12"/>
  <c r="X10" i="12"/>
  <c r="X17" i="12"/>
  <c r="X16" i="12"/>
  <c r="X19" i="12"/>
  <c r="X12" i="12"/>
  <c r="R26" i="12"/>
  <c r="X26" i="12" l="1"/>
  <c r="X41" i="12" s="1"/>
  <c r="X40" i="12" l="1"/>
  <c r="X39" i="12" s="1"/>
</calcChain>
</file>

<file path=xl/sharedStrings.xml><?xml version="1.0" encoding="utf-8"?>
<sst xmlns="http://schemas.openxmlformats.org/spreadsheetml/2006/main" count="430" uniqueCount="243">
  <si>
    <t>Job Name:</t>
  </si>
  <si>
    <t>Jamb</t>
  </si>
  <si>
    <t>Species</t>
  </si>
  <si>
    <t>From I.S of Window</t>
  </si>
  <si>
    <t>Casing</t>
  </si>
  <si>
    <t>Color</t>
  </si>
  <si>
    <t>Window</t>
  </si>
  <si>
    <t>Jamb Depth</t>
  </si>
  <si>
    <t>Descriptions</t>
  </si>
  <si>
    <t>#</t>
  </si>
  <si>
    <t>Other Special Comments</t>
  </si>
  <si>
    <t>Order Date:</t>
  </si>
  <si>
    <t>Ordered By:</t>
  </si>
  <si>
    <t>PO #:</t>
  </si>
  <si>
    <t>Stop/Mull</t>
  </si>
  <si>
    <t>Casing &amp; Jamb Price</t>
  </si>
  <si>
    <t>Total Price</t>
  </si>
  <si>
    <t>Notes</t>
  </si>
  <si>
    <t>Height</t>
  </si>
  <si>
    <t/>
  </si>
  <si>
    <t>Width</t>
  </si>
  <si>
    <t>Profile #</t>
  </si>
  <si>
    <t>(WDI #113, #115, #118, etc.)</t>
  </si>
  <si>
    <t>DOS</t>
  </si>
  <si>
    <t>Dark Oak Supreme</t>
  </si>
  <si>
    <t>LOS</t>
  </si>
  <si>
    <t>Light Oak Supreme</t>
  </si>
  <si>
    <t>AWS</t>
  </si>
  <si>
    <t>American Walnut Oak</t>
  </si>
  <si>
    <t>COS</t>
  </si>
  <si>
    <t>Cherry Oak Supreme</t>
  </si>
  <si>
    <t>Cinnamon Oak</t>
  </si>
  <si>
    <t>Golden Oak</t>
  </si>
  <si>
    <t>Traditional Cherry Oak</t>
  </si>
  <si>
    <t>Rich Cherry Oak</t>
  </si>
  <si>
    <t>White Oak</t>
  </si>
  <si>
    <t>Traditional Mahogany Oak</t>
  </si>
  <si>
    <t>Country Pine Oak</t>
  </si>
  <si>
    <t>Box Size (O.D.)</t>
  </si>
  <si>
    <t>Jamb Width</t>
  </si>
  <si>
    <t>White Supreme (paint)</t>
  </si>
  <si>
    <t>WDI Job #</t>
  </si>
  <si>
    <t>Coffee Bean Oak #2</t>
  </si>
  <si>
    <t>Type</t>
  </si>
  <si>
    <t>$$/lft:</t>
  </si>
  <si>
    <t>$$/Window</t>
  </si>
  <si>
    <t>lft/Window</t>
  </si>
  <si>
    <t>$$/U.I:</t>
  </si>
  <si>
    <t>WDI Company - Window Box Order Form</t>
  </si>
  <si>
    <t>lft</t>
  </si>
  <si>
    <t>CRI PO #:</t>
  </si>
  <si>
    <t>CALCULATIONS FOR OUTSIDE OF CASING / BOX SIZE</t>
  </si>
  <si>
    <t>Outside of Casing</t>
  </si>
  <si>
    <t>Enter in green areas only</t>
  </si>
  <si>
    <t>Customer Name:</t>
  </si>
  <si>
    <t>WDI Ship Date:</t>
  </si>
  <si>
    <t>BRI Light Oak</t>
  </si>
  <si>
    <t xml:space="preserve">BRI Medium Oak </t>
  </si>
  <si>
    <t>BRI Cherry Oak</t>
  </si>
  <si>
    <t>BRI Brazilian Cherry</t>
  </si>
  <si>
    <t>WDI Company - Window Box Colors &amp; Profiles</t>
  </si>
  <si>
    <t>BRI Maple</t>
  </si>
  <si>
    <t>BLO</t>
  </si>
  <si>
    <t>BMO</t>
  </si>
  <si>
    <t>BCO</t>
  </si>
  <si>
    <t>BMA</t>
  </si>
  <si>
    <t>WS</t>
  </si>
  <si>
    <t>Cinn Oak</t>
  </si>
  <si>
    <t>GO</t>
  </si>
  <si>
    <t>TC</t>
  </si>
  <si>
    <t>CB</t>
  </si>
  <si>
    <t>RC</t>
  </si>
  <si>
    <t>WO</t>
  </si>
  <si>
    <t>TM</t>
  </si>
  <si>
    <t>CP</t>
  </si>
  <si>
    <t>BBC</t>
  </si>
  <si>
    <t>Additional</t>
  </si>
  <si>
    <t>Items &amp; Charges</t>
  </si>
  <si>
    <t>SM</t>
  </si>
  <si>
    <t>RM</t>
  </si>
  <si>
    <t>Soft Maple</t>
  </si>
  <si>
    <t>Rich Maple</t>
  </si>
  <si>
    <t>W</t>
  </si>
  <si>
    <t>Reveal</t>
  </si>
  <si>
    <t>D</t>
  </si>
  <si>
    <t>Height - Standard Window</t>
  </si>
  <si>
    <t>Height - OSC to bottom of stool</t>
  </si>
  <si>
    <t>Height - Door - OSC to floor</t>
  </si>
  <si>
    <t>S</t>
  </si>
  <si>
    <t>Window OSC =  OSC</t>
  </si>
  <si>
    <t>-2 x casing</t>
  </si>
  <si>
    <t>-2 x reveal</t>
  </si>
  <si>
    <t>+2 x jamb (5/8")</t>
  </si>
  <si>
    <t>= NET BOX</t>
  </si>
  <si>
    <t>Door OSC =  OSC</t>
  </si>
  <si>
    <t>-1 x casing</t>
  </si>
  <si>
    <t>-1 x reveal</t>
  </si>
  <si>
    <t>+1 x jamb (5/8")</t>
  </si>
  <si>
    <t>No Dado</t>
  </si>
  <si>
    <t>Dado bottom, check apron, mfg stool</t>
  </si>
  <si>
    <t>Length</t>
  </si>
  <si>
    <t>lft pricing</t>
  </si>
  <si>
    <t>Stool calls out stool vs bottom casing</t>
  </si>
  <si>
    <t>Door eliminates bottom jamb &amp; casing</t>
  </si>
  <si>
    <t>Header calls out 3 sides of casing &amp; cut to same reveal</t>
  </si>
  <si>
    <t>H=Header</t>
  </si>
  <si>
    <t>UI</t>
  </si>
  <si>
    <t>Round calls out amounts at zero -&gt; custom calculations</t>
  </si>
  <si>
    <t>WDI Company</t>
  </si>
  <si>
    <t>651) 464-6190    (800) 899-4265</t>
  </si>
  <si>
    <t>Fax: (651) 464-6191</t>
  </si>
  <si>
    <t>www.WDICustomWood.com</t>
  </si>
  <si>
    <t>See our window video:</t>
  </si>
  <si>
    <t>http://www.wdicustomwood.com/building-products</t>
  </si>
  <si>
    <t>From inside of Window</t>
  </si>
  <si>
    <t>ff</t>
  </si>
  <si>
    <t>WDI  (651) 464-6190        Fax: (651) 464-6191</t>
  </si>
  <si>
    <t>Casing Profile #</t>
  </si>
  <si>
    <t>Width (2.25, 3.25, 5.0")</t>
  </si>
  <si>
    <t>Species (Oak, Maple, Poplar)</t>
  </si>
  <si>
    <t>Opening Type</t>
  </si>
  <si>
    <t>Error Codes ---&gt;</t>
  </si>
  <si>
    <t>Width (Standard = 1.25")</t>
  </si>
  <si>
    <t>Stop/Mull (WDST #....)</t>
  </si>
  <si>
    <t>Profile #004, 006, 007, 008, 009, 011)</t>
  </si>
  <si>
    <t>SUM</t>
  </si>
  <si>
    <t>Errors</t>
  </si>
  <si>
    <t>string errors</t>
  </si>
  <si>
    <t>Colors</t>
  </si>
  <si>
    <t xml:space="preserve">*Box width too small/large </t>
  </si>
  <si>
    <t xml:space="preserve">*Box height too small/large </t>
  </si>
  <si>
    <t xml:space="preserve">*Opening Type Error </t>
  </si>
  <si>
    <t xml:space="preserve">*Jamb Species not stock </t>
  </si>
  <si>
    <t xml:space="preserve">*Jamb depth too small/large </t>
  </si>
  <si>
    <t xml:space="preserve">*Casing Profile not stock </t>
  </si>
  <si>
    <t xml:space="preserve">*Casing width not stock </t>
  </si>
  <si>
    <t xml:space="preserve">*Stop/Mull Profile not stock </t>
  </si>
  <si>
    <t xml:space="preserve">*Stop width too small/large </t>
  </si>
  <si>
    <t xml:space="preserve">*Notes Err </t>
  </si>
  <si>
    <t>Other logic faults --&gt;</t>
  </si>
  <si>
    <t>Width (2.25", 2.5", 3.25")</t>
  </si>
  <si>
    <t>CU</t>
  </si>
  <si>
    <t>Custom color match</t>
  </si>
  <si>
    <t>Order messages &amp; errors</t>
  </si>
  <si>
    <t>(WDI #113, #115, #118)</t>
  </si>
  <si>
    <t>Color #</t>
  </si>
  <si>
    <t>CALCS</t>
  </si>
  <si>
    <t>Revised Casing Name</t>
  </si>
  <si>
    <t>Stools</t>
  </si>
  <si>
    <t>Dim A</t>
  </si>
  <si>
    <t>Dim B</t>
  </si>
  <si>
    <t>*Dim A &amp; No stool selected</t>
  </si>
  <si>
    <t>*Dim B &amp; No stool selected</t>
  </si>
  <si>
    <t xml:space="preserve"> Stools</t>
  </si>
  <si>
    <t>Line Count check</t>
  </si>
  <si>
    <t>WDI Company - Window Box Stool template</t>
  </si>
  <si>
    <t>Type is (W)indow, (D)oor, (S)tool, (H)eader, (O)ctagon, or (C)ustom</t>
  </si>
  <si>
    <t xml:space="preserve"> Opening Type</t>
  </si>
  <si>
    <t>Stock Profiles #006, 007, 009, 011</t>
  </si>
  <si>
    <t>Stop/Mull (WDST-numbers)</t>
  </si>
  <si>
    <t>Stop wider than jamb</t>
  </si>
  <si>
    <t>*Stop is wider than jamb</t>
  </si>
  <si>
    <t>P</t>
  </si>
  <si>
    <t>Amount</t>
  </si>
  <si>
    <t>Length (Inches)</t>
  </si>
  <si>
    <t>Misc profile</t>
  </si>
  <si>
    <t>Last 4 lines for Parts</t>
  </si>
  <si>
    <t># Window Line Items:</t>
  </si>
  <si>
    <t># Parts Line Items:</t>
  </si>
  <si>
    <t>Total</t>
  </si>
  <si>
    <t>Total Items:</t>
  </si>
  <si>
    <t>*Not a stock color</t>
  </si>
  <si>
    <t>Length (lft)</t>
  </si>
  <si>
    <t>Pricing Length (Inches)</t>
  </si>
  <si>
    <t>Confirmation Information</t>
  </si>
  <si>
    <t xml:space="preserve"> Date: ______________</t>
  </si>
  <si>
    <t xml:space="preserve">  Fax to: (651) 464-6191</t>
  </si>
  <si>
    <t xml:space="preserve">  or Email: CustomerService@WDICustomWood.com</t>
  </si>
  <si>
    <t xml:space="preserve">   THIS ORDER WILL BE ENTERED INTO WDI PRODUCTION</t>
  </si>
  <si>
    <t xml:space="preserve">   SCHEDULE ON RECEIPT OF SIGNED CONFIRMATION</t>
  </si>
  <si>
    <t xml:space="preserve">  Customer Acceptance Signature: ________________________</t>
  </si>
  <si>
    <t>RAW</t>
  </si>
  <si>
    <t>Raw - no finish</t>
  </si>
  <si>
    <t>CLR</t>
  </si>
  <si>
    <t>Clear coat only</t>
  </si>
  <si>
    <t>&lt;-- ERROR MESSAGES --&gt;</t>
  </si>
  <si>
    <t>Stock Profiles #006, 007, 009, 011 *</t>
  </si>
  <si>
    <t>* - also accepts  "001" for WDSH-001</t>
  </si>
  <si>
    <t>Open 7/11/14</t>
  </si>
  <si>
    <t>*White on Oak</t>
  </si>
  <si>
    <t>White on Oak</t>
  </si>
  <si>
    <t>Sorted by Name</t>
  </si>
  <si>
    <t>Sorted by Number</t>
  </si>
  <si>
    <t>Rush Charges:</t>
  </si>
  <si>
    <t>1 Day = 100% up charge</t>
  </si>
  <si>
    <t>2 Day = 75% Up Charge</t>
  </si>
  <si>
    <t>Orders in  by 2:00 PM</t>
  </si>
  <si>
    <t>Lead Times (Expedited):</t>
  </si>
  <si>
    <t>n/a</t>
  </si>
  <si>
    <t xml:space="preserve">   3 Days for pick &amp; pull parts</t>
  </si>
  <si>
    <t xml:space="preserve">   5 Days for finished windows using stock parts</t>
  </si>
  <si>
    <t xml:space="preserve">   7 Days for finished windows with custom parts</t>
  </si>
  <si>
    <t>Trapezoid Calcs</t>
  </si>
  <si>
    <t>Short Side</t>
  </si>
  <si>
    <t>Base</t>
  </si>
  <si>
    <t>Long side</t>
  </si>
  <si>
    <t>Top</t>
  </si>
  <si>
    <t>Version 2</t>
  </si>
  <si>
    <t>Angle</t>
  </si>
  <si>
    <t>Hyp</t>
  </si>
  <si>
    <t>Less Jamb</t>
  </si>
  <si>
    <t>A</t>
  </si>
  <si>
    <t>B</t>
  </si>
  <si>
    <t>C</t>
  </si>
  <si>
    <t>d</t>
  </si>
  <si>
    <t>e</t>
  </si>
  <si>
    <t>E</t>
  </si>
  <si>
    <t>f</t>
  </si>
  <si>
    <t>Input green area</t>
  </si>
  <si>
    <t>Cut top - glue &amp; screw together</t>
  </si>
  <si>
    <t>#23</t>
  </si>
  <si>
    <t>Color #23</t>
  </si>
  <si>
    <t>WDI Company - Window Round Top template</t>
  </si>
  <si>
    <t>Weight</t>
  </si>
  <si>
    <t>Weight (lbs)</t>
  </si>
  <si>
    <t>Weight Calcs --&gt;</t>
  </si>
  <si>
    <t>Casing #/Lft</t>
  </si>
  <si>
    <t>1" Jamb #/lft</t>
  </si>
  <si>
    <t>Stop #/lft</t>
  </si>
  <si>
    <t>Weights --&gt;</t>
  </si>
  <si>
    <t>Casing ?</t>
  </si>
  <si>
    <t>Stop?</t>
  </si>
  <si>
    <t>Jamb?</t>
  </si>
  <si>
    <t>#24</t>
  </si>
  <si>
    <t>Color #24</t>
  </si>
  <si>
    <t>Price Deck:</t>
  </si>
  <si>
    <t>Scaler:</t>
  </si>
  <si>
    <t>Stop Charges</t>
  </si>
  <si>
    <t>w</t>
  </si>
  <si>
    <t>Formulas include casing width, stop size</t>
  </si>
  <si>
    <t>white premium, CRI vs WDI Pricing</t>
  </si>
  <si>
    <t>Color # (from color chips dated 2017)</t>
  </si>
  <si>
    <t>v1712Dec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</si>
</sst>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m/d/yy;@"/>
    <numFmt numFmtId="167" formatCode="_(* #,##0.000_);_(* \(#,##0.000\);_(* &quot;-&quot;??_);_(@_)"/>
    <numFmt numFmtId="168" formatCode="_(&quot;$&quot;* #,##0.000_);_(&quot;$&quot;* \(#,##0.000\);_(&quot;$&quot;* &quot;-&quot;??_);_(@_)"/>
    <numFmt numFmtId="169" formatCode="_(* #,##0.0_);_(* \(#,##0.0\);_(* &quot;-&quot;??_);_(@_)"/>
  </numFmts>
  <fonts count="62" x14ac:knownFonts="1">
    <font>
      <sz val="10"/>
      <name val="Times New Roman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2"/>
      <name val="Courier New"/>
      <family val="3"/>
    </font>
    <font>
      <b/>
      <i/>
      <sz val="12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  <font>
      <b/>
      <sz val="8"/>
      <name val="Courier New"/>
      <family val="3"/>
    </font>
    <font>
      <i/>
      <sz val="12"/>
      <name val="Courier New"/>
      <family val="3"/>
    </font>
    <font>
      <i/>
      <sz val="10"/>
      <name val="Courier New"/>
      <family val="3"/>
    </font>
    <font>
      <sz val="12"/>
      <name val="Courier New"/>
      <family val="3"/>
    </font>
    <font>
      <b/>
      <u/>
      <sz val="12"/>
      <name val="Courier New"/>
      <family val="3"/>
    </font>
    <font>
      <b/>
      <sz val="12"/>
      <color indexed="12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 New"/>
      <family val="3"/>
    </font>
    <font>
      <b/>
      <sz val="16"/>
      <name val="Courier New"/>
      <family val="3"/>
    </font>
    <font>
      <u/>
      <sz val="12"/>
      <name val="Courier New"/>
      <family val="3"/>
    </font>
    <font>
      <sz val="11"/>
      <name val="Courier New"/>
      <family val="3"/>
    </font>
    <font>
      <sz val="12"/>
      <color indexed="12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b/>
      <sz val="12"/>
      <color indexed="62"/>
      <name val="Courier New"/>
      <family val="3"/>
    </font>
    <font>
      <u/>
      <sz val="7.5"/>
      <color indexed="12"/>
      <name val="Times New Roman"/>
      <family val="1"/>
    </font>
    <font>
      <u/>
      <sz val="12"/>
      <color indexed="12"/>
      <name val="Courier New"/>
      <family val="3"/>
    </font>
    <font>
      <b/>
      <sz val="12"/>
      <color indexed="9"/>
      <name val="Courier New"/>
      <family val="3"/>
    </font>
    <font>
      <b/>
      <sz val="12"/>
      <color indexed="62"/>
      <name val="Courier New"/>
      <family val="3"/>
    </font>
    <font>
      <b/>
      <sz val="8"/>
      <color indexed="62"/>
      <name val="Courier New"/>
      <family val="3"/>
    </font>
    <font>
      <sz val="16"/>
      <name val="Courier New"/>
      <family val="3"/>
    </font>
    <font>
      <sz val="10"/>
      <color indexed="62"/>
      <name val="Courier New"/>
      <family val="3"/>
    </font>
    <font>
      <sz val="11"/>
      <name val="Times New Roman"/>
      <family val="1"/>
    </font>
    <font>
      <b/>
      <sz val="8"/>
      <name val="Garamond"/>
      <family val="1"/>
    </font>
    <font>
      <sz val="11"/>
      <color indexed="12"/>
      <name val="Times New Roman"/>
      <family val="1"/>
    </font>
    <font>
      <b/>
      <u val="singleAccounting"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1"/>
      <color indexed="12"/>
      <name val="Times New Roman"/>
      <family val="1"/>
    </font>
    <font>
      <b/>
      <u val="singleAccounting"/>
      <sz val="12"/>
      <name val="Courier New"/>
      <family val="3"/>
    </font>
    <font>
      <b/>
      <u val="singleAccounting"/>
      <sz val="12"/>
      <color indexed="12"/>
      <name val="Courier New"/>
      <family val="3"/>
    </font>
    <font>
      <sz val="12"/>
      <name val="Garamond"/>
      <family val="1"/>
    </font>
    <font>
      <b/>
      <sz val="9"/>
      <name val="Courier New"/>
      <family val="3"/>
    </font>
    <font>
      <b/>
      <sz val="20"/>
      <name val="Courier New"/>
      <family val="3"/>
    </font>
    <font>
      <sz val="9"/>
      <name val="Courier New"/>
      <family val="3"/>
    </font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>
      <alignment horizontal="center" vertical="top" wrapText="1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6" fillId="0" borderId="0">
      <alignment horizontal="center" vertical="top" wrapText="1"/>
    </xf>
    <xf numFmtId="0" fontId="1" fillId="0" borderId="0"/>
    <xf numFmtId="0" fontId="14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1" fillId="0" borderId="0">
      <alignment horizontal="center" vertical="top" wrapText="1"/>
    </xf>
  </cellStyleXfs>
  <cellXfs count="357">
    <xf numFmtId="0" fontId="0" fillId="0" borderId="0" xfId="0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3" fontId="3" fillId="26" borderId="14" xfId="28" applyFont="1" applyFill="1" applyBorder="1" applyAlignment="1" applyProtection="1">
      <alignment horizontal="center" vertical="center"/>
      <protection locked="0"/>
    </xf>
    <xf numFmtId="167" fontId="3" fillId="26" borderId="14" xfId="28" applyNumberFormat="1" applyFont="1" applyFill="1" applyBorder="1" applyAlignment="1" applyProtection="1">
      <alignment horizontal="left" vertical="center" wrapText="1"/>
      <protection locked="0"/>
    </xf>
    <xf numFmtId="0" fontId="3" fillId="26" borderId="14" xfId="0" applyFont="1" applyFill="1" applyBorder="1" applyAlignment="1" applyProtection="1">
      <alignment horizontal="center" vertical="center"/>
      <protection locked="0"/>
    </xf>
    <xf numFmtId="167" fontId="3" fillId="26" borderId="14" xfId="28" applyNumberFormat="1" applyFont="1" applyFill="1" applyBorder="1" applyAlignment="1" applyProtection="1">
      <alignment horizontal="center" vertical="center"/>
      <protection locked="0"/>
    </xf>
    <xf numFmtId="0" fontId="3" fillId="26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26" borderId="22" xfId="28" applyNumberFormat="1" applyFont="1" applyFill="1" applyBorder="1" applyAlignment="1" applyProtection="1">
      <alignment horizontal="left" vertical="center" wrapText="1"/>
      <protection locked="0"/>
    </xf>
    <xf numFmtId="0" fontId="3" fillId="26" borderId="23" xfId="0" applyFont="1" applyFill="1" applyBorder="1" applyAlignment="1" applyProtection="1">
      <alignment horizontal="center" vertical="center" wrapText="1"/>
      <protection locked="0"/>
    </xf>
    <xf numFmtId="0" fontId="32" fillId="0" borderId="0" xfId="42" applyFont="1" applyAlignment="1">
      <alignment horizontal="left" vertical="top"/>
    </xf>
    <xf numFmtId="0" fontId="13" fillId="0" borderId="0" xfId="42" applyFont="1" applyAlignment="1">
      <alignment horizontal="center" vertical="top"/>
    </xf>
    <xf numFmtId="0" fontId="13" fillId="0" borderId="0" xfId="42" applyFont="1" applyFill="1" applyAlignment="1">
      <alignment horizontal="center" vertical="top"/>
    </xf>
    <xf numFmtId="0" fontId="11" fillId="0" borderId="0" xfId="42" applyFont="1" applyFill="1" applyAlignment="1">
      <alignment horizontal="center" vertical="top"/>
    </xf>
    <xf numFmtId="167" fontId="8" fillId="0" borderId="0" xfId="29" applyNumberFormat="1" applyFont="1" applyAlignment="1">
      <alignment horizontal="center" vertical="top" wrapText="1"/>
    </xf>
    <xf numFmtId="167" fontId="9" fillId="0" borderId="0" xfId="29" applyNumberFormat="1" applyFont="1" applyAlignment="1">
      <alignment horizontal="center" vertical="top" wrapText="1"/>
    </xf>
    <xf numFmtId="0" fontId="9" fillId="0" borderId="0" xfId="42" applyFont="1" applyFill="1" applyAlignment="1">
      <alignment horizontal="center" vertical="top" wrapText="1"/>
    </xf>
    <xf numFmtId="0" fontId="9" fillId="24" borderId="0" xfId="42" quotePrefix="1" applyFont="1" applyFill="1" applyAlignment="1">
      <alignment horizontal="center" vertical="top" wrapText="1"/>
    </xf>
    <xf numFmtId="0" fontId="8" fillId="0" borderId="0" xfId="42" applyFont="1" applyAlignment="1">
      <alignment horizontal="center" vertical="top" wrapText="1"/>
    </xf>
    <xf numFmtId="0" fontId="10" fillId="24" borderId="0" xfId="42" applyFont="1" applyFill="1" applyAlignment="1">
      <alignment vertical="top"/>
    </xf>
    <xf numFmtId="0" fontId="13" fillId="24" borderId="0" xfId="42" applyFont="1" applyFill="1" applyAlignment="1">
      <alignment horizontal="center" vertical="top"/>
    </xf>
    <xf numFmtId="0" fontId="10" fillId="24" borderId="0" xfId="42" applyFont="1" applyFill="1" applyAlignment="1">
      <alignment vertical="top" wrapText="1"/>
    </xf>
    <xf numFmtId="0" fontId="10" fillId="24" borderId="0" xfId="42" applyFont="1" applyFill="1" applyAlignment="1">
      <alignment horizontal="center" vertical="top"/>
    </xf>
    <xf numFmtId="0" fontId="10" fillId="0" borderId="0" xfId="42" applyFont="1" applyAlignment="1">
      <alignment vertical="top"/>
    </xf>
    <xf numFmtId="0" fontId="10" fillId="0" borderId="0" xfId="42" applyFont="1" applyFill="1" applyAlignment="1">
      <alignment horizontal="center" vertical="top"/>
    </xf>
    <xf numFmtId="0" fontId="10" fillId="0" borderId="0" xfId="42" applyFont="1" applyFill="1" applyAlignment="1">
      <alignment vertical="top" wrapText="1"/>
    </xf>
    <xf numFmtId="0" fontId="10" fillId="0" borderId="0" xfId="42" applyFont="1" applyFill="1" applyAlignment="1">
      <alignment horizontal="center" vertical="top" wrapText="1"/>
    </xf>
    <xf numFmtId="0" fontId="10" fillId="0" borderId="0" xfId="42" applyFont="1" applyAlignment="1">
      <alignment horizontal="right" vertical="top"/>
    </xf>
    <xf numFmtId="44" fontId="40" fillId="0" borderId="0" xfId="37" applyNumberFormat="1" applyFont="1" applyFill="1" applyAlignment="1" applyProtection="1">
      <alignment horizontal="left" vertical="top"/>
    </xf>
    <xf numFmtId="0" fontId="3" fillId="26" borderId="16" xfId="0" applyFont="1" applyFill="1" applyBorder="1" applyAlignment="1" applyProtection="1">
      <alignment horizontal="left" vertical="center"/>
      <protection locked="0"/>
    </xf>
    <xf numFmtId="166" fontId="3" fillId="26" borderId="16" xfId="0" applyNumberFormat="1" applyFont="1" applyFill="1" applyBorder="1" applyAlignment="1" applyProtection="1">
      <alignment horizontal="center" vertical="center"/>
      <protection locked="0"/>
    </xf>
    <xf numFmtId="166" fontId="3" fillId="26" borderId="16" xfId="0" applyNumberFormat="1" applyFont="1" applyFill="1" applyBorder="1" applyAlignment="1" applyProtection="1">
      <alignment horizontal="left" vertical="center"/>
      <protection locked="0"/>
    </xf>
    <xf numFmtId="167" fontId="3" fillId="26" borderId="14" xfId="29" applyNumberFormat="1" applyFont="1" applyFill="1" applyBorder="1" applyAlignment="1" applyProtection="1">
      <alignment horizontal="center" vertical="center"/>
      <protection locked="0"/>
    </xf>
    <xf numFmtId="44" fontId="3" fillId="26" borderId="14" xfId="30" applyFont="1" applyFill="1" applyBorder="1" applyAlignment="1" applyProtection="1">
      <alignment horizontal="center" vertical="center"/>
      <protection locked="0"/>
    </xf>
    <xf numFmtId="0" fontId="10" fillId="0" borderId="0" xfId="42" applyFont="1" applyAlignment="1">
      <alignment horizontal="center" vertical="top"/>
    </xf>
    <xf numFmtId="0" fontId="44" fillId="0" borderId="0" xfId="42" applyFont="1" applyAlignment="1">
      <alignment horizontal="left" vertical="top"/>
    </xf>
    <xf numFmtId="0" fontId="10" fillId="0" borderId="0" xfId="42" applyFont="1" applyAlignment="1">
      <alignment horizontal="left" vertical="top"/>
    </xf>
    <xf numFmtId="0" fontId="8" fillId="24" borderId="0" xfId="42" quotePrefix="1" applyFont="1" applyFill="1" applyAlignment="1">
      <alignment vertical="top"/>
    </xf>
    <xf numFmtId="14" fontId="10" fillId="0" borderId="0" xfId="42" applyNumberFormat="1" applyFont="1" applyFill="1" applyAlignment="1">
      <alignment horizontal="center" vertical="top"/>
    </xf>
    <xf numFmtId="0" fontId="33" fillId="0" borderId="0" xfId="42" applyFont="1" applyAlignment="1">
      <alignment horizontal="left" vertical="top"/>
    </xf>
    <xf numFmtId="0" fontId="10" fillId="0" borderId="0" xfId="42" applyFont="1" applyFill="1" applyAlignment="1">
      <alignment horizontal="left" vertical="top"/>
    </xf>
    <xf numFmtId="0" fontId="31" fillId="0" borderId="0" xfId="42" quotePrefix="1" applyFont="1" applyFill="1" applyAlignment="1">
      <alignment horizontal="left" vertical="top"/>
    </xf>
    <xf numFmtId="0" fontId="31" fillId="0" borderId="0" xfId="42" applyFont="1" applyFill="1" applyAlignment="1">
      <alignment horizontal="center" vertical="top"/>
    </xf>
    <xf numFmtId="165" fontId="3" fillId="24" borderId="25" xfId="29" quotePrefix="1" applyNumberFormat="1" applyFont="1" applyFill="1" applyBorder="1" applyAlignment="1" applyProtection="1">
      <alignment horizontal="left" vertical="center"/>
      <protection locked="0"/>
    </xf>
    <xf numFmtId="0" fontId="13" fillId="26" borderId="16" xfId="0" applyFont="1" applyFill="1" applyBorder="1" applyAlignment="1" applyProtection="1">
      <alignment horizontal="left" vertical="top"/>
      <protection locked="0"/>
    </xf>
    <xf numFmtId="0" fontId="46" fillId="26" borderId="14" xfId="38" applyFont="1" applyFill="1" applyBorder="1" applyAlignment="1" applyProtection="1">
      <alignment horizontal="left" vertical="center" wrapText="1"/>
      <protection locked="0"/>
    </xf>
    <xf numFmtId="167" fontId="46" fillId="26" borderId="14" xfId="28" applyNumberFormat="1" applyFont="1" applyFill="1" applyBorder="1" applyAlignment="1" applyProtection="1">
      <alignment horizontal="center" vertical="center"/>
      <protection locked="0"/>
    </xf>
    <xf numFmtId="0" fontId="46" fillId="26" borderId="14" xfId="0" applyFont="1" applyFill="1" applyBorder="1" applyAlignment="1" applyProtection="1">
      <alignment horizontal="center" vertical="center"/>
      <protection locked="0"/>
    </xf>
    <xf numFmtId="49" fontId="46" fillId="26" borderId="14" xfId="0" applyNumberFormat="1" applyFont="1" applyFill="1" applyBorder="1" applyAlignment="1" applyProtection="1">
      <alignment horizontal="center" vertical="center"/>
      <protection locked="0"/>
    </xf>
    <xf numFmtId="43" fontId="46" fillId="26" borderId="14" xfId="28" applyFont="1" applyFill="1" applyBorder="1" applyAlignment="1" applyProtection="1">
      <alignment horizontal="center" vertical="center"/>
      <protection locked="0"/>
    </xf>
    <xf numFmtId="44" fontId="52" fillId="26" borderId="14" xfId="30" applyFont="1" applyFill="1" applyBorder="1" applyAlignment="1" applyProtection="1">
      <alignment horizontal="center" vertical="center"/>
      <protection locked="0"/>
    </xf>
    <xf numFmtId="167" fontId="54" fillId="26" borderId="14" xfId="29" applyNumberFormat="1" applyFont="1" applyFill="1" applyBorder="1" applyAlignment="1" applyProtection="1">
      <alignment horizontal="center" vertical="center"/>
      <protection locked="0"/>
    </xf>
    <xf numFmtId="167" fontId="13" fillId="26" borderId="14" xfId="29" applyNumberFormat="1" applyFont="1" applyFill="1" applyBorder="1" applyAlignment="1" applyProtection="1">
      <alignment horizontal="center" vertical="center"/>
      <protection locked="0"/>
    </xf>
    <xf numFmtId="0" fontId="54" fillId="26" borderId="14" xfId="0" applyFont="1" applyFill="1" applyBorder="1" applyAlignment="1" applyProtection="1">
      <alignment horizontal="center" vertical="center"/>
      <protection locked="0"/>
    </xf>
    <xf numFmtId="167" fontId="54" fillId="26" borderId="14" xfId="2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top"/>
    </xf>
    <xf numFmtId="0" fontId="3" fillId="25" borderId="0" xfId="0" applyFont="1" applyFill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44" fontId="3" fillId="0" borderId="0" xfId="3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top" wrapText="1"/>
    </xf>
    <xf numFmtId="0" fontId="4" fillId="24" borderId="0" xfId="0" quotePrefix="1" applyFont="1" applyFill="1" applyAlignment="1" applyProtection="1">
      <alignment vertical="top"/>
    </xf>
    <xf numFmtId="0" fontId="3" fillId="30" borderId="0" xfId="0" applyFont="1" applyFill="1" applyAlignment="1" applyProtection="1">
      <alignment horizontal="center" vertical="top"/>
    </xf>
    <xf numFmtId="0" fontId="3" fillId="27" borderId="0" xfId="0" applyFont="1" applyFill="1" applyAlignment="1" applyProtection="1">
      <alignment horizontal="left" vertical="top"/>
    </xf>
    <xf numFmtId="0" fontId="3" fillId="27" borderId="0" xfId="0" applyFont="1" applyFill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center" vertical="top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top"/>
    </xf>
    <xf numFmtId="166" fontId="13" fillId="26" borderId="17" xfId="0" applyNumberFormat="1" applyFont="1" applyFill="1" applyBorder="1" applyAlignment="1" applyProtection="1">
      <alignment horizontal="center" vertical="center"/>
    </xf>
    <xf numFmtId="166" fontId="13" fillId="26" borderId="17" xfId="0" quotePrefix="1" applyNumberFormat="1" applyFont="1" applyFill="1" applyBorder="1" applyAlignment="1" applyProtection="1">
      <alignment horizontal="center" vertical="center"/>
    </xf>
    <xf numFmtId="0" fontId="13" fillId="26" borderId="15" xfId="0" quotePrefix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top"/>
    </xf>
    <xf numFmtId="0" fontId="3" fillId="0" borderId="0" xfId="0" quotePrefix="1" applyFont="1" applyAlignment="1" applyProtection="1">
      <alignment horizontal="center" vertical="top"/>
    </xf>
    <xf numFmtId="169" fontId="3" fillId="0" borderId="0" xfId="28" applyNumberFormat="1" applyFont="1" applyAlignment="1" applyProtection="1">
      <alignment horizontal="center" vertical="top"/>
    </xf>
    <xf numFmtId="169" fontId="13" fillId="0" borderId="0" xfId="28" applyNumberFormat="1" applyFont="1" applyAlignment="1" applyProtection="1">
      <alignment horizontal="left" vertical="top"/>
    </xf>
    <xf numFmtId="0" fontId="13" fillId="26" borderId="11" xfId="0" applyFont="1" applyFill="1" applyBorder="1" applyAlignment="1" applyProtection="1">
      <alignment horizontal="center" vertical="center"/>
    </xf>
    <xf numFmtId="0" fontId="13" fillId="26" borderId="19" xfId="0" applyFont="1" applyFill="1" applyBorder="1" applyAlignment="1" applyProtection="1">
      <alignment horizontal="center" vertical="center"/>
    </xf>
    <xf numFmtId="166" fontId="13" fillId="26" borderId="1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top"/>
    </xf>
    <xf numFmtId="43" fontId="3" fillId="0" borderId="0" xfId="29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right" vertical="top"/>
    </xf>
    <xf numFmtId="0" fontId="13" fillId="0" borderId="0" xfId="0" applyFont="1" applyFill="1" applyAlignment="1" applyProtection="1">
      <alignment horizontal="left" vertical="top"/>
    </xf>
    <xf numFmtId="43" fontId="13" fillId="0" borderId="0" xfId="29" applyFont="1" applyAlignment="1" applyProtection="1">
      <alignment horizontal="center" vertical="top"/>
    </xf>
    <xf numFmtId="43" fontId="3" fillId="0" borderId="0" xfId="29" applyFont="1" applyAlignment="1" applyProtection="1">
      <alignment horizontal="center" vertical="top"/>
    </xf>
    <xf numFmtId="0" fontId="55" fillId="0" borderId="0" xfId="0" applyFont="1" applyAlignment="1" applyProtection="1">
      <alignment horizontal="center" vertical="top" wrapText="1"/>
    </xf>
    <xf numFmtId="0" fontId="55" fillId="0" borderId="0" xfId="0" quotePrefix="1" applyFont="1" applyAlignment="1" applyProtection="1">
      <alignment horizontal="center" vertical="top" wrapText="1"/>
    </xf>
    <xf numFmtId="0" fontId="55" fillId="0" borderId="0" xfId="0" quotePrefix="1" applyFont="1" applyAlignment="1" applyProtection="1">
      <alignment horizontal="left" vertical="top" wrapText="1"/>
    </xf>
    <xf numFmtId="0" fontId="7" fillId="0" borderId="0" xfId="0" quotePrefix="1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left" vertical="top"/>
    </xf>
    <xf numFmtId="0" fontId="7" fillId="0" borderId="0" xfId="0" quotePrefix="1" applyFont="1" applyAlignment="1" applyProtection="1">
      <alignment horizontal="left" vertical="top"/>
    </xf>
    <xf numFmtId="0" fontId="13" fillId="26" borderId="15" xfId="0" applyFont="1" applyFill="1" applyBorder="1" applyAlignment="1" applyProtection="1">
      <alignment horizontal="center" vertical="center"/>
    </xf>
    <xf numFmtId="0" fontId="13" fillId="0" borderId="0" xfId="0" quotePrefix="1" applyFont="1" applyFill="1" applyAlignment="1" applyProtection="1">
      <alignment horizontal="right" vertical="center"/>
    </xf>
    <xf numFmtId="165" fontId="48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top"/>
    </xf>
    <xf numFmtId="43" fontId="6" fillId="0" borderId="0" xfId="29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center" vertical="top"/>
    </xf>
    <xf numFmtId="0" fontId="11" fillId="0" borderId="2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top"/>
    </xf>
    <xf numFmtId="0" fontId="3" fillId="0" borderId="2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top" textRotation="255"/>
    </xf>
    <xf numFmtId="0" fontId="3" fillId="0" borderId="18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 wrapText="1"/>
    </xf>
    <xf numFmtId="0" fontId="3" fillId="25" borderId="0" xfId="0" applyFont="1" applyFill="1" applyAlignment="1" applyProtection="1">
      <alignment horizontal="center" vertical="center"/>
    </xf>
    <xf numFmtId="43" fontId="3" fillId="0" borderId="12" xfId="29" applyFont="1" applyFill="1" applyBorder="1" applyAlignment="1" applyProtection="1">
      <alignment horizontal="center" vertical="top"/>
    </xf>
    <xf numFmtId="44" fontId="3" fillId="0" borderId="12" xfId="30" applyFont="1" applyFill="1" applyBorder="1" applyAlignment="1" applyProtection="1">
      <alignment horizontal="center" vertical="top"/>
    </xf>
    <xf numFmtId="43" fontId="3" fillId="0" borderId="12" xfId="29" applyFont="1" applyFill="1" applyBorder="1" applyAlignment="1" applyProtection="1">
      <alignment horizontal="center" vertical="top" wrapText="1"/>
    </xf>
    <xf numFmtId="0" fontId="3" fillId="30" borderId="0" xfId="0" applyFont="1" applyFill="1" applyAlignment="1" applyProtection="1">
      <alignment horizontal="left" vertical="top"/>
    </xf>
    <xf numFmtId="0" fontId="7" fillId="0" borderId="18" xfId="0" applyFont="1" applyBorder="1" applyAlignment="1" applyProtection="1">
      <alignment horizontal="center" vertical="top" textRotation="255"/>
    </xf>
    <xf numFmtId="0" fontId="3" fillId="25" borderId="12" xfId="0" applyFont="1" applyFill="1" applyBorder="1" applyAlignment="1" applyProtection="1">
      <alignment horizontal="center" vertical="top"/>
    </xf>
    <xf numFmtId="0" fontId="37" fillId="0" borderId="12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0" fontId="3" fillId="0" borderId="21" xfId="0" applyFont="1" applyBorder="1" applyAlignment="1" applyProtection="1">
      <alignment horizontal="center" vertical="top"/>
    </xf>
    <xf numFmtId="0" fontId="3" fillId="0" borderId="19" xfId="0" applyFont="1" applyBorder="1" applyAlignment="1" applyProtection="1">
      <alignment horizontal="center" vertical="top"/>
    </xf>
    <xf numFmtId="0" fontId="3" fillId="0" borderId="21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/>
    </xf>
    <xf numFmtId="43" fontId="3" fillId="0" borderId="13" xfId="29" applyFont="1" applyFill="1" applyBorder="1" applyAlignment="1" applyProtection="1">
      <alignment horizontal="center" vertical="top" wrapText="1"/>
    </xf>
    <xf numFmtId="44" fontId="3" fillId="0" borderId="13" xfId="30" applyFont="1" applyFill="1" applyBorder="1" applyAlignment="1" applyProtection="1">
      <alignment horizontal="center" vertical="top" wrapText="1"/>
    </xf>
    <xf numFmtId="168" fontId="3" fillId="0" borderId="13" xfId="3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3" fillId="0" borderId="21" xfId="0" applyFont="1" applyBorder="1" applyAlignment="1" applyProtection="1">
      <alignment horizontal="center" vertical="center" textRotation="255"/>
    </xf>
    <xf numFmtId="0" fontId="13" fillId="0" borderId="19" xfId="0" applyFont="1" applyBorder="1" applyAlignment="1" applyProtection="1">
      <alignment horizontal="center" vertical="center" textRotation="255"/>
    </xf>
    <xf numFmtId="0" fontId="6" fillId="0" borderId="13" xfId="0" applyFont="1" applyFill="1" applyBorder="1" applyAlignment="1" applyProtection="1">
      <alignment horizontal="center" vertical="top" wrapText="1"/>
    </xf>
    <xf numFmtId="0" fontId="3" fillId="25" borderId="13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3" fillId="28" borderId="0" xfId="0" applyFont="1" applyFill="1" applyAlignment="1" applyProtection="1">
      <alignment horizontal="center" vertical="top"/>
    </xf>
    <xf numFmtId="0" fontId="46" fillId="0" borderId="14" xfId="0" quotePrefix="1" applyFont="1" applyBorder="1" applyAlignment="1" applyProtection="1">
      <alignment horizontal="center" vertical="center"/>
    </xf>
    <xf numFmtId="0" fontId="48" fillId="0" borderId="14" xfId="0" applyFont="1" applyFill="1" applyBorder="1" applyAlignment="1" applyProtection="1">
      <alignment horizontal="center" vertical="center" wrapText="1"/>
    </xf>
    <xf numFmtId="43" fontId="12" fillId="0" borderId="14" xfId="29" applyFont="1" applyFill="1" applyBorder="1" applyAlignment="1" applyProtection="1">
      <alignment horizontal="center" vertical="center"/>
    </xf>
    <xf numFmtId="44" fontId="12" fillId="0" borderId="14" xfId="30" applyFont="1" applyFill="1" applyBorder="1" applyAlignment="1" applyProtection="1">
      <alignment horizontal="center" vertical="center"/>
    </xf>
    <xf numFmtId="14" fontId="3" fillId="0" borderId="0" xfId="0" applyNumberFormat="1" applyFont="1" applyFill="1" applyAlignment="1" applyProtection="1">
      <alignment horizontal="center" vertical="center" wrapText="1"/>
    </xf>
    <xf numFmtId="0" fontId="4" fillId="24" borderId="0" xfId="0" quotePrefix="1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2" fillId="0" borderId="0" xfId="0" quotePrefix="1" applyFont="1" applyAlignment="1" applyProtection="1">
      <alignment horizontal="center" vertical="center"/>
    </xf>
    <xf numFmtId="43" fontId="12" fillId="0" borderId="0" xfId="0" applyNumberFormat="1" applyFont="1" applyAlignment="1" applyProtection="1">
      <alignment horizontal="center" vertical="center"/>
    </xf>
    <xf numFmtId="0" fontId="3" fillId="30" borderId="0" xfId="0" applyFont="1" applyFill="1" applyAlignment="1" applyProtection="1">
      <alignment horizontal="center" vertical="center"/>
    </xf>
    <xf numFmtId="0" fontId="42" fillId="0" borderId="14" xfId="0" quotePrefix="1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5" fillId="0" borderId="14" xfId="0" quotePrefix="1" applyFont="1" applyBorder="1" applyAlignment="1" applyProtection="1">
      <alignment horizontal="center" vertical="center"/>
    </xf>
    <xf numFmtId="0" fontId="3" fillId="28" borderId="0" xfId="0" applyFont="1" applyFill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/>
    </xf>
    <xf numFmtId="0" fontId="43" fillId="0" borderId="0" xfId="0" applyFont="1" applyAlignment="1" applyProtection="1">
      <alignment horizontal="center" vertical="center"/>
    </xf>
    <xf numFmtId="0" fontId="46" fillId="0" borderId="14" xfId="0" applyFont="1" applyBorder="1" applyAlignment="1" applyProtection="1">
      <alignment horizontal="center" vertical="center"/>
    </xf>
    <xf numFmtId="0" fontId="49" fillId="0" borderId="14" xfId="0" applyFont="1" applyBorder="1" applyAlignment="1" applyProtection="1">
      <alignment horizontal="center" vertical="center"/>
    </xf>
    <xf numFmtId="0" fontId="51" fillId="0" borderId="14" xfId="0" applyFont="1" applyFill="1" applyBorder="1" applyAlignment="1" applyProtection="1">
      <alignment horizontal="center" vertical="center" wrapText="1"/>
    </xf>
    <xf numFmtId="0" fontId="52" fillId="25" borderId="0" xfId="0" applyFont="1" applyFill="1" applyAlignment="1" applyProtection="1">
      <alignment horizontal="center" vertical="center"/>
    </xf>
    <xf numFmtId="43" fontId="53" fillId="0" borderId="14" xfId="29" applyFont="1" applyFill="1" applyBorder="1" applyAlignment="1" applyProtection="1">
      <alignment horizontal="center" vertical="center"/>
    </xf>
    <xf numFmtId="44" fontId="53" fillId="0" borderId="14" xfId="30" applyFont="1" applyFill="1" applyBorder="1" applyAlignment="1" applyProtection="1">
      <alignment horizontal="center" vertical="center"/>
    </xf>
    <xf numFmtId="0" fontId="42" fillId="29" borderId="14" xfId="0" quotePrefix="1" applyFont="1" applyFill="1" applyBorder="1" applyAlignment="1" applyProtection="1">
      <alignment horizontal="center" vertical="center"/>
    </xf>
    <xf numFmtId="0" fontId="42" fillId="29" borderId="0" xfId="0" applyFont="1" applyFill="1" applyAlignment="1" applyProtection="1">
      <alignment horizontal="center" vertical="center"/>
    </xf>
    <xf numFmtId="0" fontId="45" fillId="29" borderId="14" xfId="0" quotePrefix="1" applyFont="1" applyFill="1" applyBorder="1" applyAlignment="1" applyProtection="1">
      <alignment horizontal="center" vertical="center"/>
    </xf>
    <xf numFmtId="0" fontId="42" fillId="29" borderId="0" xfId="0" quotePrefix="1" applyFont="1" applyFill="1" applyAlignment="1" applyProtection="1">
      <alignment horizontal="center" vertical="center"/>
    </xf>
    <xf numFmtId="0" fontId="3" fillId="29" borderId="0" xfId="0" applyFont="1" applyFill="1" applyAlignment="1" applyProtection="1">
      <alignment horizontal="center" vertical="center"/>
    </xf>
    <xf numFmtId="167" fontId="13" fillId="0" borderId="0" xfId="29" applyNumberFormat="1" applyFont="1" applyAlignment="1" applyProtection="1">
      <alignment horizontal="center" vertical="top"/>
    </xf>
    <xf numFmtId="167" fontId="13" fillId="0" borderId="0" xfId="28" applyNumberFormat="1" applyFont="1" applyAlignment="1" applyProtection="1">
      <alignment horizontal="center" vertical="top"/>
    </xf>
    <xf numFmtId="167" fontId="13" fillId="0" borderId="0" xfId="29" applyNumberFormat="1" applyFont="1" applyFill="1" applyAlignment="1" applyProtection="1">
      <alignment horizontal="center" vertical="top"/>
    </xf>
    <xf numFmtId="43" fontId="12" fillId="0" borderId="0" xfId="28" applyFont="1" applyFill="1" applyAlignment="1" applyProtection="1">
      <alignment horizontal="center" vertical="top"/>
    </xf>
    <xf numFmtId="14" fontId="3" fillId="0" borderId="0" xfId="0" applyNumberFormat="1" applyFont="1" applyFill="1" applyAlignment="1" applyProtection="1">
      <alignment horizontal="center" vertical="top" wrapText="1"/>
    </xf>
    <xf numFmtId="167" fontId="3" fillId="0" borderId="0" xfId="29" applyNumberFormat="1" applyFont="1" applyAlignment="1" applyProtection="1">
      <alignment horizontal="center" vertical="top"/>
    </xf>
    <xf numFmtId="43" fontId="12" fillId="0" borderId="24" xfId="28" applyFont="1" applyFill="1" applyBorder="1" applyAlignment="1" applyProtection="1">
      <alignment horizontal="center" vertical="top"/>
    </xf>
    <xf numFmtId="44" fontId="12" fillId="0" borderId="24" xfId="30" applyFont="1" applyFill="1" applyBorder="1" applyAlignment="1" applyProtection="1">
      <alignment horizontal="center" vertical="top"/>
    </xf>
    <xf numFmtId="167" fontId="13" fillId="0" borderId="0" xfId="29" quotePrefix="1" applyNumberFormat="1" applyFont="1" applyAlignment="1" applyProtection="1">
      <alignment horizontal="left" vertical="top"/>
    </xf>
    <xf numFmtId="44" fontId="12" fillId="0" borderId="0" xfId="30" applyFont="1" applyFill="1" applyAlignment="1" applyProtection="1">
      <alignment horizontal="center" vertical="top"/>
    </xf>
    <xf numFmtId="167" fontId="3" fillId="0" borderId="10" xfId="29" applyNumberFormat="1" applyFont="1" applyBorder="1" applyAlignment="1" applyProtection="1">
      <alignment horizontal="center" vertical="top"/>
    </xf>
    <xf numFmtId="167" fontId="3" fillId="0" borderId="0" xfId="29" applyNumberFormat="1" applyFont="1" applyBorder="1" applyAlignment="1" applyProtection="1">
      <alignment horizontal="center" vertical="top"/>
    </xf>
    <xf numFmtId="167" fontId="13" fillId="0" borderId="0" xfId="28" applyNumberFormat="1" applyFont="1" applyBorder="1" applyAlignment="1" applyProtection="1">
      <alignment horizontal="center" vertical="top"/>
    </xf>
    <xf numFmtId="167" fontId="3" fillId="0" borderId="0" xfId="28" applyNumberFormat="1" applyFont="1" applyBorder="1" applyAlignment="1" applyProtection="1">
      <alignment horizontal="center" vertical="top"/>
    </xf>
    <xf numFmtId="167" fontId="3" fillId="0" borderId="11" xfId="28" applyNumberFormat="1" applyFont="1" applyBorder="1" applyAlignment="1" applyProtection="1">
      <alignment horizontal="center" vertical="top"/>
    </xf>
    <xf numFmtId="167" fontId="41" fillId="0" borderId="0" xfId="28" applyNumberFormat="1" applyFont="1" applyAlignment="1" applyProtection="1">
      <alignment horizontal="left" vertical="top"/>
    </xf>
    <xf numFmtId="167" fontId="3" fillId="0" borderId="0" xfId="28" applyNumberFormat="1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 wrapText="1"/>
    </xf>
    <xf numFmtId="167" fontId="8" fillId="0" borderId="0" xfId="28" applyNumberFormat="1" applyFont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8" fillId="25" borderId="0" xfId="0" applyFont="1" applyFill="1" applyAlignment="1" applyProtection="1">
      <alignment horizontal="center" vertical="top" wrapText="1"/>
    </xf>
    <xf numFmtId="0" fontId="8" fillId="24" borderId="0" xfId="0" quotePrefix="1" applyFont="1" applyFill="1" applyAlignment="1" applyProtection="1">
      <alignment horizontal="center" vertical="top" wrapText="1"/>
    </xf>
    <xf numFmtId="0" fontId="8" fillId="30" borderId="0" xfId="0" applyFont="1" applyFill="1" applyAlignment="1" applyProtection="1">
      <alignment horizontal="center" vertical="top" wrapText="1"/>
    </xf>
    <xf numFmtId="0" fontId="8" fillId="28" borderId="0" xfId="0" applyFont="1" applyFill="1" applyAlignment="1" applyProtection="1">
      <alignment horizontal="center" vertical="top" wrapText="1"/>
    </xf>
    <xf numFmtId="0" fontId="10" fillId="24" borderId="0" xfId="0" applyFont="1" applyFill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43" fontId="10" fillId="24" borderId="0" xfId="28" applyFont="1" applyFill="1" applyAlignment="1" applyProtection="1">
      <alignment vertical="top"/>
    </xf>
    <xf numFmtId="44" fontId="10" fillId="24" borderId="0" xfId="30" applyFont="1" applyFill="1" applyAlignment="1" applyProtection="1">
      <alignment vertical="top"/>
    </xf>
    <xf numFmtId="0" fontId="10" fillId="24" borderId="0" xfId="0" applyFont="1" applyFill="1" applyAlignment="1" applyProtection="1">
      <alignment vertical="top" wrapText="1"/>
    </xf>
    <xf numFmtId="0" fontId="10" fillId="30" borderId="0" xfId="0" applyFont="1" applyFill="1" applyAlignment="1" applyProtection="1">
      <alignment vertical="top"/>
    </xf>
    <xf numFmtId="0" fontId="10" fillId="28" borderId="0" xfId="0" applyFont="1" applyFill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0" fillId="0" borderId="0" xfId="0" applyProtection="1">
      <alignment horizontal="center" vertical="top" wrapText="1"/>
    </xf>
    <xf numFmtId="0" fontId="10" fillId="0" borderId="0" xfId="0" applyFont="1" applyFill="1" applyAlignment="1" applyProtection="1">
      <alignment vertical="top"/>
    </xf>
    <xf numFmtId="43" fontId="10" fillId="0" borderId="0" xfId="28" applyFont="1" applyFill="1" applyAlignment="1" applyProtection="1">
      <alignment vertical="top"/>
    </xf>
    <xf numFmtId="44" fontId="10" fillId="0" borderId="0" xfId="30" applyFont="1" applyFill="1" applyAlignment="1" applyProtection="1">
      <alignment vertical="top"/>
    </xf>
    <xf numFmtId="44" fontId="10" fillId="0" borderId="0" xfId="30" applyFont="1" applyFill="1" applyAlignment="1" applyProtection="1">
      <alignment horizontal="right" vertical="top" wrapText="1"/>
    </xf>
    <xf numFmtId="168" fontId="12" fillId="0" borderId="0" xfId="30" applyNumberFormat="1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25" borderId="0" xfId="0" applyFont="1" applyFill="1" applyAlignment="1" applyProtection="1">
      <alignment vertical="top" wrapText="1"/>
    </xf>
    <xf numFmtId="43" fontId="10" fillId="0" borderId="0" xfId="28" applyFont="1" applyFill="1" applyAlignment="1" applyProtection="1">
      <alignment vertical="top" wrapText="1"/>
    </xf>
    <xf numFmtId="44" fontId="10" fillId="0" borderId="0" xfId="30" quotePrefix="1" applyFont="1" applyFill="1" applyAlignment="1" applyProtection="1">
      <alignment horizontal="right" vertical="top" wrapText="1"/>
    </xf>
    <xf numFmtId="0" fontId="10" fillId="30" borderId="0" xfId="0" applyFont="1" applyFill="1" applyAlignment="1" applyProtection="1">
      <alignment vertical="top" wrapText="1"/>
    </xf>
    <xf numFmtId="0" fontId="10" fillId="28" borderId="0" xfId="0" applyFont="1" applyFill="1" applyAlignment="1" applyProtection="1">
      <alignment vertical="top" wrapText="1"/>
    </xf>
    <xf numFmtId="0" fontId="10" fillId="0" borderId="0" xfId="0" applyFont="1" applyAlignment="1" applyProtection="1">
      <alignment horizontal="right" vertical="top"/>
    </xf>
    <xf numFmtId="44" fontId="10" fillId="0" borderId="0" xfId="30" quotePrefix="1" applyFont="1" applyFill="1" applyAlignment="1" applyProtection="1">
      <alignment vertical="top"/>
    </xf>
    <xf numFmtId="44" fontId="10" fillId="0" borderId="0" xfId="30" quotePrefix="1" applyFont="1" applyFill="1" applyAlignment="1" applyProtection="1">
      <alignment horizontal="right" vertical="top"/>
    </xf>
    <xf numFmtId="44" fontId="12" fillId="0" borderId="0" xfId="30" applyFont="1" applyFill="1" applyAlignment="1" applyProtection="1">
      <alignment vertical="top"/>
    </xf>
    <xf numFmtId="44" fontId="10" fillId="0" borderId="0" xfId="30" applyFont="1" applyFill="1" applyAlignment="1" applyProtection="1">
      <alignment horizontal="right" vertical="top"/>
    </xf>
    <xf numFmtId="43" fontId="12" fillId="0" borderId="0" xfId="28" applyFont="1" applyFill="1" applyAlignment="1" applyProtection="1">
      <alignment vertical="top"/>
    </xf>
    <xf numFmtId="43" fontId="35" fillId="0" borderId="0" xfId="28" applyFont="1" applyFill="1" applyAlignment="1" applyProtection="1">
      <alignment horizontal="right" vertical="center"/>
    </xf>
    <xf numFmtId="169" fontId="35" fillId="0" borderId="0" xfId="28" applyNumberFormat="1" applyFont="1" applyFill="1" applyAlignment="1" applyProtection="1">
      <alignment horizontal="right" vertical="center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/>
    </xf>
    <xf numFmtId="0" fontId="10" fillId="25" borderId="0" xfId="0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horizontal="center" vertical="top" wrapText="1"/>
    </xf>
    <xf numFmtId="0" fontId="8" fillId="24" borderId="0" xfId="0" quotePrefix="1" applyFont="1" applyFill="1" applyAlignment="1" applyProtection="1">
      <alignment vertical="top"/>
    </xf>
    <xf numFmtId="0" fontId="10" fillId="0" borderId="0" xfId="0" applyFont="1" applyFill="1" applyAlignment="1" applyProtection="1">
      <alignment horizontal="right" vertical="center"/>
    </xf>
    <xf numFmtId="0" fontId="10" fillId="0" borderId="16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top"/>
    </xf>
    <xf numFmtId="0" fontId="10" fillId="24" borderId="0" xfId="0" applyFont="1" applyFill="1" applyAlignment="1" applyProtection="1">
      <alignment horizontal="left" vertical="top"/>
    </xf>
    <xf numFmtId="0" fontId="10" fillId="0" borderId="26" xfId="0" applyFont="1" applyFill="1" applyBorder="1" applyAlignment="1" applyProtection="1">
      <alignment horizontal="center" vertical="top"/>
    </xf>
    <xf numFmtId="0" fontId="10" fillId="0" borderId="0" xfId="0" quotePrefix="1" applyFont="1" applyAlignment="1" applyProtection="1">
      <alignment horizontal="center" vertical="top"/>
    </xf>
    <xf numFmtId="0" fontId="10" fillId="0" borderId="26" xfId="0" applyFont="1" applyBorder="1" applyAlignment="1" applyProtection="1">
      <alignment horizontal="center" vertical="top"/>
    </xf>
    <xf numFmtId="0" fontId="33" fillId="0" borderId="1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center" vertical="top"/>
    </xf>
    <xf numFmtId="0" fontId="33" fillId="0" borderId="20" xfId="0" applyFont="1" applyBorder="1" applyAlignment="1" applyProtection="1">
      <alignment horizontal="left" vertical="top"/>
    </xf>
    <xf numFmtId="0" fontId="10" fillId="0" borderId="18" xfId="0" applyFont="1" applyBorder="1" applyAlignment="1" applyProtection="1">
      <alignment horizontal="center" vertical="top"/>
    </xf>
    <xf numFmtId="0" fontId="10" fillId="0" borderId="12" xfId="0" applyFont="1" applyFill="1" applyBorder="1" applyAlignment="1" applyProtection="1">
      <alignment horizontal="center" vertical="top"/>
    </xf>
    <xf numFmtId="0" fontId="10" fillId="0" borderId="27" xfId="0" applyFont="1" applyFill="1" applyBorder="1" applyAlignment="1" applyProtection="1">
      <alignment horizontal="center" vertical="top"/>
    </xf>
    <xf numFmtId="0" fontId="10" fillId="0" borderId="0" xfId="0" quotePrefix="1" applyFont="1" applyAlignment="1" applyProtection="1">
      <alignment horizontal="center" vertical="top" wrapText="1"/>
    </xf>
    <xf numFmtId="0" fontId="10" fillId="0" borderId="13" xfId="0" applyFont="1" applyBorder="1" applyAlignment="1" applyProtection="1">
      <alignment horizontal="center" vertical="top"/>
    </xf>
    <xf numFmtId="0" fontId="10" fillId="31" borderId="21" xfId="0" applyFont="1" applyFill="1" applyBorder="1" applyAlignment="1" applyProtection="1">
      <alignment horizontal="center" vertical="top"/>
    </xf>
    <xf numFmtId="0" fontId="10" fillId="31" borderId="19" xfId="0" applyFont="1" applyFill="1" applyBorder="1" applyAlignment="1" applyProtection="1">
      <alignment horizontal="center" vertical="top"/>
    </xf>
    <xf numFmtId="0" fontId="10" fillId="31" borderId="13" xfId="0" applyFont="1" applyFill="1" applyBorder="1" applyAlignment="1" applyProtection="1">
      <alignment horizontal="center" vertical="top"/>
    </xf>
    <xf numFmtId="0" fontId="10" fillId="31" borderId="13" xfId="0" applyFont="1" applyFill="1" applyBorder="1" applyAlignment="1" applyProtection="1">
      <alignment horizontal="center" vertical="top" wrapText="1"/>
    </xf>
    <xf numFmtId="0" fontId="10" fillId="31" borderId="28" xfId="0" applyFont="1" applyFill="1" applyBorder="1" applyAlignment="1" applyProtection="1">
      <alignment horizontal="center" vertical="top"/>
    </xf>
    <xf numFmtId="0" fontId="10" fillId="0" borderId="11" xfId="0" applyFont="1" applyFill="1" applyBorder="1" applyAlignment="1" applyProtection="1">
      <alignment horizontal="center" vertical="top" wrapText="1"/>
    </xf>
    <xf numFmtId="0" fontId="10" fillId="0" borderId="19" xfId="0" applyFont="1" applyFill="1" applyBorder="1" applyAlignment="1" applyProtection="1">
      <alignment horizontal="center" vertical="top" wrapText="1"/>
    </xf>
    <xf numFmtId="0" fontId="34" fillId="0" borderId="19" xfId="0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center"/>
    </xf>
    <xf numFmtId="167" fontId="3" fillId="0" borderId="14" xfId="28" applyNumberFormat="1" applyFont="1" applyFill="1" applyBorder="1" applyAlignment="1" applyProtection="1">
      <alignment horizontal="center" vertical="center"/>
    </xf>
    <xf numFmtId="167" fontId="3" fillId="0" borderId="14" xfId="28" quotePrefix="1" applyNumberFormat="1" applyFont="1" applyFill="1" applyBorder="1" applyAlignment="1" applyProtection="1">
      <alignment horizontal="center" vertical="center"/>
    </xf>
    <xf numFmtId="0" fontId="10" fillId="25" borderId="0" xfId="0" applyFont="1" applyFill="1" applyAlignment="1" applyProtection="1">
      <alignment horizontal="center" vertical="center"/>
    </xf>
    <xf numFmtId="14" fontId="10" fillId="0" borderId="0" xfId="0" applyNumberFormat="1" applyFont="1" applyFill="1" applyAlignment="1" applyProtection="1">
      <alignment horizontal="center" vertical="center" wrapText="1"/>
    </xf>
    <xf numFmtId="0" fontId="8" fillId="24" borderId="0" xfId="0" quotePrefix="1" applyFont="1" applyFill="1" applyAlignment="1" applyProtection="1">
      <alignment vertical="center"/>
    </xf>
    <xf numFmtId="0" fontId="3" fillId="26" borderId="14" xfId="37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167" fontId="38" fillId="0" borderId="14" xfId="28" quotePrefix="1" applyNumberFormat="1" applyFont="1" applyFill="1" applyBorder="1" applyAlignment="1" applyProtection="1">
      <alignment horizontal="center" vertical="center"/>
    </xf>
    <xf numFmtId="0" fontId="3" fillId="26" borderId="14" xfId="0" applyFont="1" applyFill="1" applyBorder="1" applyAlignment="1" applyProtection="1">
      <alignment horizontal="left" vertical="center" wrapText="1"/>
    </xf>
    <xf numFmtId="0" fontId="10" fillId="26" borderId="14" xfId="37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top" wrapText="1"/>
    </xf>
    <xf numFmtId="0" fontId="10" fillId="32" borderId="0" xfId="0" applyFont="1" applyFill="1" applyAlignment="1" applyProtection="1">
      <alignment horizontal="center" vertical="center"/>
      <protection locked="0"/>
    </xf>
    <xf numFmtId="43" fontId="11" fillId="0" borderId="0" xfId="28" applyFont="1" applyFill="1" applyBorder="1" applyAlignment="1">
      <alignment horizontal="left" vertical="top"/>
    </xf>
    <xf numFmtId="44" fontId="3" fillId="0" borderId="0" xfId="30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44" fontId="3" fillId="0" borderId="0" xfId="30" applyFont="1" applyFill="1" applyBorder="1" applyAlignment="1">
      <alignment horizontal="left" vertical="top"/>
    </xf>
    <xf numFmtId="43" fontId="3" fillId="0" borderId="0" xfId="29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44" fontId="3" fillId="33" borderId="0" xfId="30" applyFont="1" applyFill="1" applyBorder="1" applyAlignment="1">
      <alignment horizontal="center" vertical="top"/>
    </xf>
    <xf numFmtId="14" fontId="3" fillId="33" borderId="0" xfId="0" applyNumberFormat="1" applyFont="1" applyFill="1" applyBorder="1" applyAlignment="1">
      <alignment horizontal="center" vertical="top" wrapText="1"/>
    </xf>
    <xf numFmtId="0" fontId="13" fillId="26" borderId="17" xfId="0" applyFont="1" applyFill="1" applyBorder="1" applyAlignment="1" applyProtection="1">
      <alignment horizontal="center" vertical="center"/>
    </xf>
    <xf numFmtId="0" fontId="8" fillId="0" borderId="0" xfId="0" quotePrefix="1" applyFont="1" applyFill="1" applyAlignment="1" applyProtection="1">
      <alignment vertical="top"/>
    </xf>
    <xf numFmtId="0" fontId="8" fillId="0" borderId="0" xfId="0" quotePrefix="1" applyFont="1" applyFill="1" applyAlignment="1" applyProtection="1">
      <alignment vertical="center"/>
    </xf>
    <xf numFmtId="0" fontId="8" fillId="0" borderId="0" xfId="0" quotePrefix="1" applyFont="1" applyFill="1" applyAlignment="1" applyProtection="1">
      <alignment horizontal="center" vertical="top" wrapText="1"/>
    </xf>
    <xf numFmtId="2" fontId="46" fillId="26" borderId="14" xfId="0" quotePrefix="1" applyNumberFormat="1" applyFont="1" applyFill="1" applyBorder="1" applyAlignment="1" applyProtection="1">
      <alignment horizontal="center" vertical="center"/>
      <protection locked="0"/>
    </xf>
    <xf numFmtId="0" fontId="56" fillId="0" borderId="0" xfId="0" quotePrefix="1" applyFont="1" applyAlignment="1" applyProtection="1">
      <alignment horizontal="center" vertical="top"/>
    </xf>
    <xf numFmtId="0" fontId="13" fillId="0" borderId="0" xfId="0" quotePrefix="1" applyFont="1" applyFill="1" applyAlignment="1" applyProtection="1">
      <alignment horizontal="center" vertical="center"/>
    </xf>
    <xf numFmtId="0" fontId="10" fillId="25" borderId="0" xfId="42" applyFont="1" applyFill="1" applyAlignment="1">
      <alignment horizontal="left" vertical="top"/>
    </xf>
    <xf numFmtId="0" fontId="11" fillId="0" borderId="0" xfId="42" applyFont="1" applyAlignment="1">
      <alignment horizontal="center" vertical="top"/>
    </xf>
    <xf numFmtId="0" fontId="13" fillId="26" borderId="17" xfId="0" applyFont="1" applyFill="1" applyBorder="1" applyAlignment="1" applyProtection="1">
      <alignment horizontal="left" vertical="top"/>
    </xf>
    <xf numFmtId="0" fontId="13" fillId="26" borderId="15" xfId="0" applyFont="1" applyFill="1" applyBorder="1" applyAlignment="1" applyProtection="1">
      <alignment horizontal="center" vertical="top"/>
    </xf>
    <xf numFmtId="0" fontId="11" fillId="0" borderId="0" xfId="0" applyFont="1" applyAlignment="1" applyProtection="1">
      <alignment horizontal="left" vertical="top"/>
    </xf>
    <xf numFmtId="167" fontId="13" fillId="0" borderId="0" xfId="29" applyNumberFormat="1" applyFont="1" applyBorder="1" applyAlignment="1" applyProtection="1">
      <alignment horizontal="left" vertical="center"/>
    </xf>
    <xf numFmtId="167" fontId="13" fillId="0" borderId="0" xfId="28" applyNumberFormat="1" applyFont="1" applyBorder="1" applyAlignment="1" applyProtection="1">
      <alignment horizontal="left" vertical="center"/>
    </xf>
    <xf numFmtId="167" fontId="52" fillId="0" borderId="0" xfId="29" applyNumberFormat="1" applyFont="1" applyAlignment="1" applyProtection="1">
      <alignment horizontal="left" vertical="top"/>
    </xf>
    <xf numFmtId="167" fontId="6" fillId="0" borderId="0" xfId="28" applyNumberFormat="1" applyFont="1" applyBorder="1" applyAlignment="1" applyProtection="1">
      <alignment horizontal="left" vertical="center"/>
    </xf>
    <xf numFmtId="0" fontId="31" fillId="0" borderId="30" xfId="0" quotePrefix="1" applyFont="1" applyFill="1" applyBorder="1" applyAlignment="1" applyProtection="1">
      <alignment horizontal="left" vertical="center"/>
    </xf>
    <xf numFmtId="167" fontId="31" fillId="0" borderId="30" xfId="29" applyNumberFormat="1" applyFont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167" fontId="31" fillId="0" borderId="0" xfId="28" applyNumberFormat="1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167" fontId="31" fillId="0" borderId="0" xfId="28" applyNumberFormat="1" applyFont="1" applyBorder="1" applyAlignment="1" applyProtection="1">
      <alignment horizontal="center" vertical="center"/>
    </xf>
    <xf numFmtId="0" fontId="57" fillId="0" borderId="30" xfId="0" quotePrefix="1" applyFont="1" applyFill="1" applyBorder="1" applyAlignment="1" applyProtection="1">
      <alignment horizontal="left" vertical="center"/>
    </xf>
    <xf numFmtId="0" fontId="57" fillId="0" borderId="0" xfId="0" quotePrefix="1" applyFont="1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58" fillId="0" borderId="0" xfId="49" applyFont="1" applyAlignment="1">
      <alignment horizontal="center" vertical="center" wrapText="1"/>
    </xf>
    <xf numFmtId="0" fontId="58" fillId="0" borderId="0" xfId="49" applyAlignment="1">
      <alignment horizontal="center" vertical="center"/>
    </xf>
    <xf numFmtId="0" fontId="58" fillId="0" borderId="0" xfId="49"/>
    <xf numFmtId="0" fontId="58" fillId="34" borderId="0" xfId="49" applyFill="1"/>
    <xf numFmtId="0" fontId="58" fillId="35" borderId="0" xfId="49" applyFill="1"/>
    <xf numFmtId="0" fontId="58" fillId="36" borderId="0" xfId="49" applyFill="1"/>
    <xf numFmtId="43" fontId="59" fillId="0" borderId="0" xfId="49" applyNumberFormat="1" applyFont="1"/>
    <xf numFmtId="164" fontId="59" fillId="0" borderId="0" xfId="49" applyNumberFormat="1" applyFont="1"/>
    <xf numFmtId="43" fontId="60" fillId="0" borderId="0" xfId="50" applyFont="1"/>
    <xf numFmtId="0" fontId="58" fillId="36" borderId="0" xfId="49" applyFill="1" applyAlignment="1">
      <alignment horizontal="left" vertical="center"/>
    </xf>
    <xf numFmtId="0" fontId="61" fillId="0" borderId="0" xfId="49" applyFont="1"/>
    <xf numFmtId="0" fontId="3" fillId="26" borderId="21" xfId="0" applyFont="1" applyFill="1" applyBorder="1" applyAlignment="1" applyProtection="1">
      <alignment horizontal="left" vertical="center"/>
      <protection locked="0"/>
    </xf>
    <xf numFmtId="169" fontId="46" fillId="37" borderId="14" xfId="29" applyNumberFormat="1" applyFont="1" applyFill="1" applyBorder="1" applyAlignment="1" applyProtection="1">
      <alignment horizontal="center" vertical="center"/>
      <protection locked="0"/>
    </xf>
    <xf numFmtId="167" fontId="46" fillId="37" borderId="14" xfId="29" quotePrefix="1" applyNumberFormat="1" applyFont="1" applyFill="1" applyBorder="1" applyAlignment="1" applyProtection="1">
      <alignment horizontal="center" vertical="center"/>
      <protection locked="0"/>
    </xf>
    <xf numFmtId="167" fontId="46" fillId="37" borderId="14" xfId="29" applyNumberFormat="1" applyFont="1" applyFill="1" applyBorder="1" applyAlignment="1" applyProtection="1">
      <alignment horizontal="center" vertical="center"/>
      <protection locked="0"/>
    </xf>
    <xf numFmtId="0" fontId="46" fillId="37" borderId="14" xfId="0" applyFont="1" applyFill="1" applyBorder="1" applyAlignment="1" applyProtection="1">
      <alignment horizontal="center" vertical="center"/>
      <protection locked="0"/>
    </xf>
    <xf numFmtId="43" fontId="46" fillId="37" borderId="14" xfId="28" applyFont="1" applyFill="1" applyBorder="1" applyAlignment="1" applyProtection="1">
      <alignment horizontal="center" vertical="center"/>
      <protection locked="0"/>
    </xf>
    <xf numFmtId="49" fontId="46" fillId="37" borderId="14" xfId="0" applyNumberFormat="1" applyFont="1" applyFill="1" applyBorder="1" applyAlignment="1" applyProtection="1">
      <alignment horizontal="center" vertical="center"/>
      <protection locked="0"/>
    </xf>
    <xf numFmtId="2" fontId="46" fillId="37" borderId="14" xfId="0" quotePrefix="1" applyNumberFormat="1" applyFont="1" applyFill="1" applyBorder="1" applyAlignment="1" applyProtection="1">
      <alignment horizontal="center" vertical="center"/>
      <protection locked="0"/>
    </xf>
    <xf numFmtId="0" fontId="46" fillId="37" borderId="14" xfId="0" applyFont="1" applyFill="1" applyBorder="1" applyAlignment="1" applyProtection="1">
      <alignment horizontal="left" vertical="center" wrapText="1"/>
      <protection locked="0"/>
    </xf>
    <xf numFmtId="167" fontId="49" fillId="35" borderId="14" xfId="29" applyNumberFormat="1" applyFont="1" applyFill="1" applyBorder="1" applyAlignment="1" applyProtection="1">
      <alignment horizontal="center" vertical="center"/>
    </xf>
    <xf numFmtId="167" fontId="50" fillId="35" borderId="14" xfId="29" quotePrefix="1" applyNumberFormat="1" applyFont="1" applyFill="1" applyBorder="1" applyAlignment="1" applyProtection="1">
      <alignment horizontal="left" vertical="center"/>
    </xf>
    <xf numFmtId="0" fontId="49" fillId="35" borderId="14" xfId="0" applyFont="1" applyFill="1" applyBorder="1" applyAlignment="1" applyProtection="1">
      <alignment horizontal="center" vertical="center"/>
    </xf>
    <xf numFmtId="43" fontId="49" fillId="35" borderId="14" xfId="28" applyFont="1" applyFill="1" applyBorder="1" applyAlignment="1" applyProtection="1">
      <alignment horizontal="center" vertical="center"/>
    </xf>
    <xf numFmtId="49" fontId="49" fillId="35" borderId="14" xfId="0" applyNumberFormat="1" applyFont="1" applyFill="1" applyBorder="1" applyAlignment="1" applyProtection="1">
      <alignment horizontal="center" vertical="center"/>
    </xf>
    <xf numFmtId="0" fontId="49" fillId="35" borderId="14" xfId="0" applyNumberFormat="1" applyFont="1" applyFill="1" applyBorder="1" applyAlignment="1" applyProtection="1">
      <alignment horizontal="center" vertical="center"/>
    </xf>
    <xf numFmtId="0" fontId="49" fillId="35" borderId="14" xfId="0" applyFont="1" applyFill="1" applyBorder="1" applyAlignment="1" applyProtection="1">
      <alignment horizontal="left" vertical="center" wrapText="1"/>
    </xf>
    <xf numFmtId="0" fontId="13" fillId="38" borderId="0" xfId="0" applyFont="1" applyFill="1" applyAlignment="1" applyProtection="1">
      <alignment horizontal="center" vertical="top"/>
    </xf>
    <xf numFmtId="169" fontId="3" fillId="0" borderId="0" xfId="28" applyNumberFormat="1" applyFont="1" applyFill="1" applyAlignment="1" applyProtection="1">
      <alignment horizontal="center" vertical="top" wrapText="1"/>
    </xf>
    <xf numFmtId="169" fontId="3" fillId="0" borderId="0" xfId="28" applyNumberFormat="1" applyFont="1" applyFill="1" applyBorder="1" applyAlignment="1">
      <alignment horizontal="center" vertical="top" wrapText="1"/>
    </xf>
    <xf numFmtId="169" fontId="3" fillId="33" borderId="0" xfId="28" applyNumberFormat="1" applyFont="1" applyFill="1" applyBorder="1" applyAlignment="1">
      <alignment horizontal="center" vertical="top" wrapText="1"/>
    </xf>
    <xf numFmtId="169" fontId="8" fillId="0" borderId="0" xfId="28" applyNumberFormat="1" applyFont="1" applyAlignment="1" applyProtection="1">
      <alignment horizontal="center" vertical="top" wrapText="1"/>
    </xf>
    <xf numFmtId="169" fontId="10" fillId="24" borderId="0" xfId="28" applyNumberFormat="1" applyFont="1" applyFill="1" applyAlignment="1" applyProtection="1">
      <alignment vertical="top" wrapText="1"/>
    </xf>
    <xf numFmtId="169" fontId="10" fillId="0" borderId="0" xfId="28" applyNumberFormat="1" applyFont="1" applyFill="1" applyAlignment="1" applyProtection="1">
      <alignment vertical="top" wrapText="1"/>
    </xf>
    <xf numFmtId="169" fontId="10" fillId="0" borderId="0" xfId="28" applyNumberFormat="1" applyFont="1" applyAlignment="1" applyProtection="1">
      <alignment vertical="top"/>
    </xf>
    <xf numFmtId="169" fontId="12" fillId="0" borderId="14" xfId="28" applyNumberFormat="1" applyFont="1" applyFill="1" applyBorder="1" applyAlignment="1" applyProtection="1">
      <alignment horizontal="center" vertical="center"/>
    </xf>
    <xf numFmtId="165" fontId="12" fillId="0" borderId="24" xfId="28" applyNumberFormat="1" applyFont="1" applyFill="1" applyBorder="1" applyAlignment="1" applyProtection="1">
      <alignment horizontal="center" vertical="top"/>
    </xf>
    <xf numFmtId="0" fontId="3" fillId="36" borderId="0" xfId="0" applyFont="1" applyFill="1" applyAlignment="1" applyProtection="1">
      <alignment horizontal="center" vertical="top"/>
    </xf>
    <xf numFmtId="169" fontId="12" fillId="0" borderId="14" xfId="2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 vertical="center"/>
    </xf>
    <xf numFmtId="44" fontId="12" fillId="37" borderId="14" xfId="30" applyFont="1" applyFill="1" applyBorder="1" applyAlignment="1" applyProtection="1">
      <alignment horizontal="center" vertical="center"/>
    </xf>
    <xf numFmtId="44" fontId="31" fillId="0" borderId="0" xfId="30" applyFont="1" applyFill="1" applyAlignment="1" applyProtection="1">
      <alignment horizontal="left" vertical="top"/>
    </xf>
    <xf numFmtId="0" fontId="6" fillId="0" borderId="0" xfId="0" quotePrefix="1" applyNumberFormat="1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167" fontId="31" fillId="0" borderId="0" xfId="28" applyNumberFormat="1" applyFont="1" applyFill="1" applyAlignment="1" applyProtection="1">
      <alignment horizontal="center" vertical="center"/>
    </xf>
    <xf numFmtId="44" fontId="31" fillId="0" borderId="0" xfId="3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0" fontId="47" fillId="0" borderId="20" xfId="0" quotePrefix="1" applyFont="1" applyBorder="1" applyAlignment="1" applyProtection="1">
      <alignment horizontal="center" vertical="top" textRotation="255"/>
    </xf>
    <xf numFmtId="0" fontId="47" fillId="0" borderId="21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 textRotation="255"/>
    </xf>
    <xf numFmtId="0" fontId="31" fillId="0" borderId="13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 textRotation="255"/>
    </xf>
    <xf numFmtId="0" fontId="10" fillId="0" borderId="29" xfId="0" applyFont="1" applyBorder="1" applyAlignment="1" applyProtection="1">
      <alignment horizontal="center" vertical="top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50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 2" xfId="3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rmal 4" xfId="49"/>
    <cellStyle name="Normal 5" xfId="51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mruColors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0</xdr:colOff>
      <xdr:row>1</xdr:row>
      <xdr:rowOff>0</xdr:rowOff>
    </xdr:from>
    <xdr:to>
      <xdr:col>156</xdr:col>
      <xdr:colOff>442331</xdr:colOff>
      <xdr:row>6</xdr:row>
      <xdr:rowOff>160198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51280" y="314960"/>
          <a:ext cx="4282811" cy="2049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2</xdr:row>
      <xdr:rowOff>0</xdr:rowOff>
    </xdr:from>
    <xdr:to>
      <xdr:col>4</xdr:col>
      <xdr:colOff>609600</xdr:colOff>
      <xdr:row>26</xdr:row>
      <xdr:rowOff>106680</xdr:rowOff>
    </xdr:to>
    <xdr:pic>
      <xdr:nvPicPr>
        <xdr:cNvPr id="21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24840"/>
          <a:ext cx="10066020" cy="777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1021080</xdr:colOff>
      <xdr:row>26</xdr:row>
      <xdr:rowOff>54242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624840"/>
          <a:ext cx="10058400" cy="77199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11</xdr:row>
      <xdr:rowOff>22807</xdr:rowOff>
    </xdr:from>
    <xdr:to>
      <xdr:col>37</xdr:col>
      <xdr:colOff>411480</xdr:colOff>
      <xdr:row>75</xdr:row>
      <xdr:rowOff>104458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2232607"/>
          <a:ext cx="3520440" cy="2664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dicustomwood.com/building-produ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126"/>
  <sheetViews>
    <sheetView tabSelected="1" zoomScale="75" zoomScaleNormal="75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9" sqref="N9"/>
    </sheetView>
  </sheetViews>
  <sheetFormatPr defaultColWidth="9.33203125" defaultRowHeight="15.75" x14ac:dyDescent="0.2"/>
  <cols>
    <col min="1" max="1" width="5.83203125" style="199" customWidth="1"/>
    <col min="2" max="3" width="12.83203125" style="199" customWidth="1"/>
    <col min="4" max="4" width="5.83203125" style="199" customWidth="1"/>
    <col min="5" max="6" width="10.83203125" style="199" customWidth="1"/>
    <col min="7" max="7" width="13.83203125" style="201" customWidth="1"/>
    <col min="8" max="8" width="17.33203125" style="201" customWidth="1"/>
    <col min="9" max="11" width="13.83203125" style="201" customWidth="1"/>
    <col min="12" max="13" width="15.83203125" style="201" customWidth="1"/>
    <col min="14" max="14" width="45.83203125" style="201" customWidth="1"/>
    <col min="15" max="15" width="40.83203125" style="201" customWidth="1"/>
    <col min="16" max="16" width="0.5" style="193" customWidth="1"/>
    <col min="17" max="17" width="20.83203125" style="202" customWidth="1"/>
    <col min="18" max="19" width="15.83203125" style="203" customWidth="1"/>
    <col min="20" max="24" width="20.83203125" style="203" customWidth="1"/>
    <col min="25" max="25" width="0.5" style="193" customWidth="1"/>
    <col min="26" max="26" width="1.83203125" style="193" customWidth="1"/>
    <col min="27" max="27" width="15.83203125" style="335" customWidth="1"/>
    <col min="28" max="28" width="9.83203125" style="206" customWidth="1"/>
    <col min="29" max="29" width="0.5" style="192" customWidth="1"/>
    <col min="30" max="30" width="1.83203125" style="199" customWidth="1"/>
    <col min="31" max="31" width="16.1640625" style="200" hidden="1" customWidth="1"/>
    <col min="32" max="32" width="12.83203125" style="200" hidden="1" customWidth="1"/>
    <col min="33" max="33" width="38.83203125" style="200" hidden="1" customWidth="1"/>
    <col min="34" max="35" width="13.83203125" style="201" hidden="1" customWidth="1"/>
    <col min="36" max="36" width="12.83203125" style="199" hidden="1" customWidth="1"/>
    <col min="37" max="37" width="0.83203125" style="197" hidden="1" customWidth="1"/>
    <col min="38" max="41" width="12.83203125" style="199" hidden="1" customWidth="1"/>
    <col min="42" max="42" width="8" style="199" hidden="1" customWidth="1"/>
    <col min="43" max="43" width="4.83203125" style="199" hidden="1" customWidth="1"/>
    <col min="44" max="45" width="9.5" style="199" hidden="1" customWidth="1"/>
    <col min="46" max="46" width="12.83203125" style="199" hidden="1" customWidth="1"/>
    <col min="47" max="47" width="9.5" style="199" hidden="1" customWidth="1"/>
    <col min="48" max="48" width="0.5" style="199" hidden="1" customWidth="1"/>
    <col min="49" max="50" width="13.5" style="199" hidden="1" customWidth="1"/>
    <col min="51" max="52" width="10.6640625" style="199" hidden="1" customWidth="1"/>
    <col min="53" max="57" width="15.83203125" style="199" hidden="1" customWidth="1"/>
    <col min="58" max="58" width="0.83203125" style="199" hidden="1" customWidth="1"/>
    <col min="59" max="59" width="11.83203125" style="199" hidden="1" customWidth="1"/>
    <col min="60" max="60" width="0.83203125" style="198" hidden="1" customWidth="1"/>
    <col min="61" max="67" width="11.83203125" style="199" hidden="1" customWidth="1"/>
    <col min="68" max="69" width="9.33203125" style="199" hidden="1" customWidth="1"/>
    <col min="70" max="70" width="0.83203125" style="199" hidden="1" customWidth="1"/>
    <col min="71" max="79" width="9.33203125" style="199" hidden="1" customWidth="1"/>
    <col min="80" max="80" width="0.83203125" style="199" hidden="1" customWidth="1"/>
    <col min="81" max="81" width="98.1640625" style="199" hidden="1" customWidth="1"/>
    <col min="82" max="82" width="1.83203125" style="199" hidden="1" customWidth="1"/>
    <col min="83" max="83" width="0.83203125" style="199" hidden="1" customWidth="1"/>
    <col min="84" max="84" width="23.1640625" style="199" hidden="1" customWidth="1"/>
    <col min="85" max="85" width="0.83203125" style="199" hidden="1" customWidth="1"/>
    <col min="86" max="86" width="12.1640625" style="199" hidden="1" customWidth="1"/>
    <col min="87" max="87" width="10.6640625" style="199" hidden="1" customWidth="1"/>
    <col min="88" max="88" width="9.33203125" style="199" hidden="1" customWidth="1"/>
    <col min="89" max="90" width="10.6640625" style="199" hidden="1" customWidth="1"/>
    <col min="91" max="94" width="9.33203125" style="199" hidden="1" customWidth="1"/>
    <col min="95" max="95" width="10.6640625" style="199" hidden="1" customWidth="1"/>
    <col min="96" max="117" width="9.33203125" style="199" hidden="1" customWidth="1"/>
    <col min="118" max="150" width="0" style="199" hidden="1" customWidth="1"/>
    <col min="151" max="16384" width="9.33203125" style="199"/>
  </cols>
  <sheetData>
    <row r="1" spans="1:97" s="61" customFormat="1" ht="24.95" customHeight="1" thickBot="1" x14ac:dyDescent="0.25">
      <c r="A1" s="55" t="s">
        <v>48</v>
      </c>
      <c r="B1" s="56"/>
      <c r="C1" s="55"/>
      <c r="D1" s="55"/>
      <c r="E1" s="55"/>
      <c r="F1" s="55"/>
      <c r="G1" s="57"/>
      <c r="H1" s="55" t="s">
        <v>116</v>
      </c>
      <c r="I1" s="56"/>
      <c r="J1" s="56"/>
      <c r="K1" s="56"/>
      <c r="L1" s="56"/>
      <c r="M1" s="56"/>
      <c r="N1" s="58"/>
      <c r="O1" s="59"/>
      <c r="P1" s="60"/>
      <c r="R1" s="61" t="s">
        <v>108</v>
      </c>
      <c r="W1" s="62"/>
      <c r="X1" s="62"/>
      <c r="Y1" s="112"/>
      <c r="Z1" s="59"/>
      <c r="AA1" s="330"/>
      <c r="AB1" s="63"/>
      <c r="AC1" s="64" t="s">
        <v>19</v>
      </c>
      <c r="AH1" s="60"/>
      <c r="AI1" s="60"/>
      <c r="AJ1" s="60"/>
      <c r="AK1" s="65"/>
      <c r="AL1" s="66" t="s">
        <v>121</v>
      </c>
      <c r="AM1" s="67"/>
      <c r="AP1" s="68"/>
      <c r="AQ1" s="68"/>
      <c r="BA1" s="68" t="s">
        <v>139</v>
      </c>
    </row>
    <row r="2" spans="1:97" s="61" customFormat="1" ht="24.95" customHeight="1" thickBot="1" x14ac:dyDescent="0.3">
      <c r="A2" s="329"/>
      <c r="B2" s="70" t="s">
        <v>0</v>
      </c>
      <c r="C2" s="29"/>
      <c r="D2" s="275"/>
      <c r="E2" s="275"/>
      <c r="F2" s="97"/>
      <c r="G2" s="71"/>
      <c r="H2" s="70" t="s">
        <v>11</v>
      </c>
      <c r="I2" s="30"/>
      <c r="J2" s="72"/>
      <c r="K2" s="73"/>
      <c r="L2" s="74"/>
      <c r="M2" s="75"/>
      <c r="N2" s="75"/>
      <c r="O2" s="71"/>
      <c r="P2" s="59"/>
      <c r="R2" s="76" t="s">
        <v>109</v>
      </c>
      <c r="S2" s="76"/>
      <c r="T2" s="76"/>
      <c r="U2" s="76"/>
      <c r="Y2" s="112"/>
      <c r="Z2" s="59"/>
      <c r="AA2" s="330"/>
      <c r="AB2" s="63"/>
      <c r="AC2" s="64"/>
      <c r="AE2" s="346" t="s">
        <v>235</v>
      </c>
      <c r="AF2" s="33" t="s">
        <v>238</v>
      </c>
      <c r="AG2" s="344" t="s">
        <v>239</v>
      </c>
      <c r="AH2" s="60"/>
      <c r="AI2" s="60"/>
      <c r="AJ2" s="60"/>
      <c r="AK2" s="65"/>
      <c r="AM2" s="77">
        <v>1</v>
      </c>
      <c r="AN2" s="77">
        <v>2</v>
      </c>
      <c r="AO2" s="77">
        <v>3</v>
      </c>
      <c r="AP2" s="78">
        <v>3.1</v>
      </c>
      <c r="AQ2" s="78">
        <v>3.2</v>
      </c>
      <c r="AR2" s="77">
        <v>4</v>
      </c>
      <c r="AS2" s="77">
        <v>5</v>
      </c>
      <c r="AT2" s="77">
        <v>7</v>
      </c>
      <c r="AU2" s="77">
        <v>8</v>
      </c>
      <c r="AV2" s="77">
        <v>9</v>
      </c>
      <c r="AW2" s="77">
        <v>10</v>
      </c>
      <c r="AX2" s="77">
        <v>11</v>
      </c>
      <c r="AY2" s="77">
        <v>12</v>
      </c>
      <c r="AZ2" s="77">
        <v>13</v>
      </c>
      <c r="BA2" s="77">
        <v>14</v>
      </c>
      <c r="BB2" s="77">
        <v>15</v>
      </c>
      <c r="BC2" s="77">
        <v>16</v>
      </c>
      <c r="BD2" s="77">
        <v>17</v>
      </c>
      <c r="BE2" s="77">
        <v>18</v>
      </c>
    </row>
    <row r="3" spans="1:97" s="61" customFormat="1" ht="24.95" customHeight="1" thickBot="1" x14ac:dyDescent="0.3">
      <c r="A3" s="69"/>
      <c r="B3" s="70" t="s">
        <v>13</v>
      </c>
      <c r="C3" s="313"/>
      <c r="D3" s="79"/>
      <c r="E3" s="79"/>
      <c r="F3" s="80"/>
      <c r="G3" s="71"/>
      <c r="H3" s="70" t="s">
        <v>55</v>
      </c>
      <c r="I3" s="31"/>
      <c r="J3" s="81"/>
      <c r="K3" s="73"/>
      <c r="L3" s="74"/>
      <c r="M3" s="82" t="str">
        <f>IF(I3-I2&lt;14,"Short lead time, Rush charges may apply",IF(I3-I2&gt;30,"Ship date is &gt;30 days",""))</f>
        <v>Short lead time, Rush charges may apply</v>
      </c>
      <c r="N3" s="83"/>
      <c r="O3" s="71"/>
      <c r="P3" s="59"/>
      <c r="Q3" s="84"/>
      <c r="R3" s="61" t="s">
        <v>110</v>
      </c>
      <c r="Y3" s="112"/>
      <c r="Z3" s="59"/>
      <c r="AA3" s="330"/>
      <c r="AB3" s="63"/>
      <c r="AC3" s="64"/>
      <c r="AE3" s="347" t="s">
        <v>236</v>
      </c>
      <c r="AF3" s="3">
        <v>0.5</v>
      </c>
      <c r="AG3" s="344" t="s">
        <v>240</v>
      </c>
      <c r="AK3" s="65"/>
      <c r="AP3" s="68"/>
      <c r="AQ3" s="68"/>
      <c r="BI3" s="61" t="s">
        <v>126</v>
      </c>
    </row>
    <row r="4" spans="1:97" s="61" customFormat="1" ht="24.95" customHeight="1" thickBot="1" x14ac:dyDescent="0.3">
      <c r="A4" s="69"/>
      <c r="B4" s="70" t="s">
        <v>12</v>
      </c>
      <c r="C4" s="29"/>
      <c r="D4" s="80"/>
      <c r="E4" s="85"/>
      <c r="F4" s="85"/>
      <c r="G4" s="71"/>
      <c r="H4" s="86" t="s">
        <v>54</v>
      </c>
      <c r="I4" s="31"/>
      <c r="J4" s="81"/>
      <c r="K4" s="73"/>
      <c r="L4" s="74"/>
      <c r="M4" s="87"/>
      <c r="N4" s="87"/>
      <c r="O4" s="88"/>
      <c r="P4" s="59"/>
      <c r="Q4" s="89"/>
      <c r="R4" s="76" t="s">
        <v>111</v>
      </c>
      <c r="S4" s="76"/>
      <c r="T4" s="76"/>
      <c r="U4" s="76"/>
      <c r="V4" s="76"/>
      <c r="W4" s="62"/>
      <c r="Y4" s="112"/>
      <c r="Z4" s="59"/>
      <c r="AA4" s="330"/>
      <c r="AB4" s="63"/>
      <c r="AC4" s="64"/>
      <c r="AI4" s="61" t="s">
        <v>146</v>
      </c>
      <c r="AK4" s="65"/>
      <c r="AL4" s="90"/>
      <c r="AM4" s="91" t="s">
        <v>129</v>
      </c>
      <c r="AN4" s="91" t="s">
        <v>130</v>
      </c>
      <c r="AO4" s="91" t="s">
        <v>131</v>
      </c>
      <c r="AP4" s="92" t="s">
        <v>151</v>
      </c>
      <c r="AQ4" s="92" t="s">
        <v>152</v>
      </c>
      <c r="AR4" s="91" t="s">
        <v>132</v>
      </c>
      <c r="AS4" s="91" t="s">
        <v>133</v>
      </c>
      <c r="AT4" s="91" t="s">
        <v>134</v>
      </c>
      <c r="AU4" s="91" t="s">
        <v>135</v>
      </c>
      <c r="AV4" s="90"/>
      <c r="AW4" s="91" t="s">
        <v>136</v>
      </c>
      <c r="AX4" s="91" t="s">
        <v>137</v>
      </c>
      <c r="AY4" s="91" t="s">
        <v>171</v>
      </c>
      <c r="AZ4" s="91" t="s">
        <v>138</v>
      </c>
      <c r="BA4" s="91" t="s">
        <v>189</v>
      </c>
      <c r="BB4" s="91"/>
      <c r="BC4" s="93" t="s">
        <v>161</v>
      </c>
      <c r="BD4" s="93"/>
      <c r="BE4" s="93"/>
      <c r="BF4" s="94"/>
      <c r="BG4" s="94"/>
      <c r="BH4" s="94"/>
      <c r="BI4" s="95" t="str">
        <f>+AM4</f>
        <v xml:space="preserve">*Box width too small/large </v>
      </c>
      <c r="BJ4" s="95" t="str">
        <f>+AN4</f>
        <v xml:space="preserve">*Box height too small/large </v>
      </c>
      <c r="BK4" s="95" t="str">
        <f>+AO4</f>
        <v xml:space="preserve">*Opening Type Error </v>
      </c>
      <c r="BL4" s="96" t="s">
        <v>151</v>
      </c>
      <c r="BM4" s="96" t="s">
        <v>152</v>
      </c>
      <c r="BN4" s="95" t="str">
        <f>+AR4</f>
        <v xml:space="preserve">*Jamb Species not stock </v>
      </c>
      <c r="BO4" s="95" t="str">
        <f>+AS4</f>
        <v xml:space="preserve">*Jamb depth too small/large </v>
      </c>
      <c r="BP4" s="95" t="str">
        <f t="shared" ref="BP4:BU4" si="0">+AT4</f>
        <v xml:space="preserve">*Casing Profile not stock </v>
      </c>
      <c r="BQ4" s="95" t="str">
        <f t="shared" si="0"/>
        <v xml:space="preserve">*Casing width not stock </v>
      </c>
      <c r="BR4" s="95">
        <f t="shared" si="0"/>
        <v>0</v>
      </c>
      <c r="BS4" s="95" t="str">
        <f t="shared" si="0"/>
        <v xml:space="preserve">*Stop/Mull Profile not stock </v>
      </c>
      <c r="BT4" s="95" t="str">
        <f t="shared" si="0"/>
        <v xml:space="preserve">*Stop width too small/large </v>
      </c>
      <c r="BU4" s="95" t="str">
        <f t="shared" si="0"/>
        <v>*Not a stock color</v>
      </c>
      <c r="BV4" s="95" t="str">
        <f t="shared" ref="BV4:CA4" si="1">+AZ4</f>
        <v xml:space="preserve">*Notes Err </v>
      </c>
      <c r="BW4" s="95" t="str">
        <f t="shared" si="1"/>
        <v>*White on Oak</v>
      </c>
      <c r="BX4" s="95">
        <f t="shared" si="1"/>
        <v>0</v>
      </c>
      <c r="BY4" s="95" t="str">
        <f t="shared" si="1"/>
        <v>*Stop is wider than jamb</v>
      </c>
      <c r="BZ4" s="95">
        <f t="shared" si="1"/>
        <v>0</v>
      </c>
      <c r="CA4" s="95">
        <f t="shared" si="1"/>
        <v>0</v>
      </c>
      <c r="CC4" s="68" t="s">
        <v>127</v>
      </c>
      <c r="CF4" s="68" t="s">
        <v>154</v>
      </c>
      <c r="CH4" s="68" t="s">
        <v>225</v>
      </c>
    </row>
    <row r="5" spans="1:97" s="61" customFormat="1" ht="24.95" customHeight="1" thickBot="1" x14ac:dyDescent="0.25">
      <c r="A5" s="69"/>
      <c r="B5" s="86" t="s">
        <v>41</v>
      </c>
      <c r="C5" s="29"/>
      <c r="D5" s="97"/>
      <c r="E5" s="85"/>
      <c r="F5" s="85"/>
      <c r="G5" s="71"/>
      <c r="H5" s="98" t="s">
        <v>167</v>
      </c>
      <c r="I5" s="43"/>
      <c r="J5" s="87"/>
      <c r="K5" s="98" t="s">
        <v>168</v>
      </c>
      <c r="L5" s="43"/>
      <c r="M5" s="70" t="s">
        <v>170</v>
      </c>
      <c r="N5" s="99">
        <f>+L5+I5</f>
        <v>0</v>
      </c>
      <c r="O5" s="100" t="str">
        <f>IF(+I5+L5&lt;&gt;+N5,"Error - Line Count Off !!","")</f>
        <v/>
      </c>
      <c r="P5" s="59"/>
      <c r="Q5" s="101" t="s">
        <v>112</v>
      </c>
      <c r="R5" s="28" t="s">
        <v>113</v>
      </c>
      <c r="S5" s="28"/>
      <c r="T5" s="28"/>
      <c r="U5" s="28"/>
      <c r="V5" s="28"/>
      <c r="Y5" s="112"/>
      <c r="Z5" s="59"/>
      <c r="AA5" s="330"/>
      <c r="AB5" s="63"/>
      <c r="AC5" s="64"/>
      <c r="AK5" s="65"/>
      <c r="AP5" s="68"/>
      <c r="AQ5" s="68"/>
      <c r="BL5" s="68"/>
      <c r="BM5" s="68"/>
      <c r="CK5" s="68" t="s">
        <v>229</v>
      </c>
      <c r="CN5" s="61" t="s">
        <v>169</v>
      </c>
    </row>
    <row r="6" spans="1:97" s="61" customFormat="1" ht="49.9" customHeight="1" x14ac:dyDescent="0.2">
      <c r="A6" s="102"/>
      <c r="B6" s="103" t="s">
        <v>38</v>
      </c>
      <c r="C6" s="104"/>
      <c r="D6" s="351" t="s">
        <v>157</v>
      </c>
      <c r="E6" s="105" t="s">
        <v>153</v>
      </c>
      <c r="F6" s="106"/>
      <c r="G6" s="107" t="s">
        <v>2</v>
      </c>
      <c r="H6" s="108" t="s">
        <v>7</v>
      </c>
      <c r="I6" s="109" t="s">
        <v>117</v>
      </c>
      <c r="J6" s="110" t="s">
        <v>4</v>
      </c>
      <c r="K6" s="109" t="s">
        <v>159</v>
      </c>
      <c r="L6" s="110" t="s">
        <v>14</v>
      </c>
      <c r="M6" s="110" t="s">
        <v>6</v>
      </c>
      <c r="N6" s="110" t="s">
        <v>17</v>
      </c>
      <c r="O6" s="111" t="s">
        <v>143</v>
      </c>
      <c r="P6" s="112"/>
      <c r="Q6" s="113" t="s">
        <v>6</v>
      </c>
      <c r="R6" s="114" t="s">
        <v>6</v>
      </c>
      <c r="S6" s="115" t="s">
        <v>76</v>
      </c>
      <c r="T6" s="115" t="s">
        <v>76</v>
      </c>
      <c r="U6" s="115" t="s">
        <v>76</v>
      </c>
      <c r="V6" s="115" t="s">
        <v>76</v>
      </c>
      <c r="W6" s="115" t="s">
        <v>76</v>
      </c>
      <c r="X6" s="114" t="s">
        <v>6</v>
      </c>
      <c r="Y6" s="112"/>
      <c r="Z6" s="341"/>
      <c r="AA6" s="115"/>
      <c r="AB6" s="63"/>
      <c r="AC6" s="64"/>
      <c r="AH6" s="110" t="s">
        <v>4</v>
      </c>
      <c r="AI6" s="109" t="s">
        <v>117</v>
      </c>
      <c r="AK6" s="116"/>
      <c r="AM6" s="103" t="s">
        <v>38</v>
      </c>
      <c r="AN6" s="104"/>
      <c r="AO6" s="353" t="s">
        <v>120</v>
      </c>
      <c r="AP6" s="105" t="s">
        <v>148</v>
      </c>
      <c r="AQ6" s="117"/>
      <c r="AR6" s="110" t="s">
        <v>1</v>
      </c>
      <c r="AS6" s="109" t="s">
        <v>7</v>
      </c>
      <c r="AT6" s="109" t="s">
        <v>117</v>
      </c>
      <c r="AU6" s="110" t="s">
        <v>4</v>
      </c>
      <c r="AV6" s="118"/>
      <c r="AW6" s="119" t="s">
        <v>159</v>
      </c>
      <c r="AX6" s="110" t="s">
        <v>14</v>
      </c>
      <c r="AY6" s="110" t="s">
        <v>6</v>
      </c>
      <c r="AZ6" s="110" t="s">
        <v>17</v>
      </c>
      <c r="BA6" s="120"/>
      <c r="BB6" s="120" t="s">
        <v>188</v>
      </c>
      <c r="BC6" s="120"/>
      <c r="BD6" s="120"/>
      <c r="BE6" s="120"/>
      <c r="BF6" s="112"/>
      <c r="BI6" s="103" t="s">
        <v>38</v>
      </c>
      <c r="BJ6" s="104"/>
      <c r="BK6" s="353" t="s">
        <v>120</v>
      </c>
      <c r="BL6" s="105" t="s">
        <v>148</v>
      </c>
      <c r="BM6" s="117"/>
      <c r="BN6" s="110" t="s">
        <v>1</v>
      </c>
      <c r="BO6" s="109" t="s">
        <v>7</v>
      </c>
      <c r="BP6" s="109" t="s">
        <v>117</v>
      </c>
      <c r="BQ6" s="110" t="s">
        <v>4</v>
      </c>
      <c r="BR6" s="118"/>
      <c r="BS6" s="119" t="s">
        <v>123</v>
      </c>
      <c r="BT6" s="110" t="s">
        <v>14</v>
      </c>
      <c r="BU6" s="110" t="s">
        <v>6</v>
      </c>
      <c r="BV6" s="110" t="s">
        <v>17</v>
      </c>
      <c r="BW6" s="120"/>
      <c r="BX6" s="120"/>
      <c r="BY6" s="120"/>
      <c r="BZ6" s="120"/>
      <c r="CA6" s="120"/>
      <c r="CB6" s="112"/>
      <c r="CE6" s="112"/>
      <c r="CG6" s="112"/>
      <c r="CH6" s="61" t="s">
        <v>106</v>
      </c>
      <c r="CI6" s="61" t="s">
        <v>49</v>
      </c>
      <c r="CJ6" s="133" t="s">
        <v>39</v>
      </c>
      <c r="CK6" s="133" t="s">
        <v>226</v>
      </c>
      <c r="CL6" s="133" t="s">
        <v>228</v>
      </c>
      <c r="CM6" s="133" t="s">
        <v>227</v>
      </c>
      <c r="CN6" s="61" t="s">
        <v>223</v>
      </c>
      <c r="CO6" s="61" t="s">
        <v>232</v>
      </c>
      <c r="CP6" s="133" t="s">
        <v>230</v>
      </c>
      <c r="CQ6" s="61" t="s">
        <v>231</v>
      </c>
    </row>
    <row r="7" spans="1:97" s="61" customFormat="1" ht="94.9" customHeight="1" thickBot="1" x14ac:dyDescent="0.25">
      <c r="A7" s="121" t="s">
        <v>9</v>
      </c>
      <c r="B7" s="122" t="s">
        <v>20</v>
      </c>
      <c r="C7" s="123" t="s">
        <v>18</v>
      </c>
      <c r="D7" s="352"/>
      <c r="E7" s="124" t="s">
        <v>149</v>
      </c>
      <c r="F7" s="125" t="s">
        <v>150</v>
      </c>
      <c r="G7" s="126" t="s">
        <v>119</v>
      </c>
      <c r="H7" s="127" t="s">
        <v>114</v>
      </c>
      <c r="I7" s="128" t="s">
        <v>144</v>
      </c>
      <c r="J7" s="128" t="s">
        <v>140</v>
      </c>
      <c r="K7" s="128" t="s">
        <v>186</v>
      </c>
      <c r="L7" s="128" t="s">
        <v>122</v>
      </c>
      <c r="M7" s="128" t="s">
        <v>241</v>
      </c>
      <c r="N7" s="129" t="s">
        <v>8</v>
      </c>
      <c r="O7" s="120"/>
      <c r="P7" s="112"/>
      <c r="Q7" s="130" t="s">
        <v>173</v>
      </c>
      <c r="R7" s="131" t="s">
        <v>15</v>
      </c>
      <c r="S7" s="132" t="s">
        <v>237</v>
      </c>
      <c r="T7" s="132" t="s">
        <v>77</v>
      </c>
      <c r="U7" s="132" t="s">
        <v>77</v>
      </c>
      <c r="V7" s="132" t="s">
        <v>77</v>
      </c>
      <c r="W7" s="132" t="s">
        <v>77</v>
      </c>
      <c r="X7" s="131" t="s">
        <v>16</v>
      </c>
      <c r="Y7" s="112"/>
      <c r="Z7" s="341"/>
      <c r="AA7" s="132" t="s">
        <v>224</v>
      </c>
      <c r="AB7" s="63"/>
      <c r="AC7" s="64"/>
      <c r="AH7" s="128" t="s">
        <v>140</v>
      </c>
      <c r="AI7" s="128" t="s">
        <v>147</v>
      </c>
      <c r="AJ7" s="133"/>
      <c r="AK7" s="65"/>
      <c r="AM7" s="122" t="s">
        <v>20</v>
      </c>
      <c r="AN7" s="123" t="s">
        <v>18</v>
      </c>
      <c r="AO7" s="354"/>
      <c r="AP7" s="134" t="s">
        <v>149</v>
      </c>
      <c r="AQ7" s="135" t="s">
        <v>150</v>
      </c>
      <c r="AR7" s="136" t="s">
        <v>119</v>
      </c>
      <c r="AS7" s="136" t="s">
        <v>114</v>
      </c>
      <c r="AT7" s="136" t="s">
        <v>22</v>
      </c>
      <c r="AU7" s="136" t="s">
        <v>140</v>
      </c>
      <c r="AV7" s="137"/>
      <c r="AW7" s="128" t="s">
        <v>158</v>
      </c>
      <c r="AX7" s="128" t="s">
        <v>122</v>
      </c>
      <c r="AY7" s="129" t="s">
        <v>5</v>
      </c>
      <c r="AZ7" s="129" t="s">
        <v>8</v>
      </c>
      <c r="BA7" s="138" t="s">
        <v>190</v>
      </c>
      <c r="BB7" s="138"/>
      <c r="BC7" s="138" t="s">
        <v>160</v>
      </c>
      <c r="BE7" s="138"/>
      <c r="BF7" s="112"/>
      <c r="BG7" s="61" t="s">
        <v>125</v>
      </c>
      <c r="BI7" s="122" t="s">
        <v>20</v>
      </c>
      <c r="BJ7" s="123" t="s">
        <v>18</v>
      </c>
      <c r="BK7" s="354"/>
      <c r="BL7" s="134" t="s">
        <v>149</v>
      </c>
      <c r="BM7" s="135" t="s">
        <v>150</v>
      </c>
      <c r="BN7" s="128" t="s">
        <v>119</v>
      </c>
      <c r="BO7" s="128" t="s">
        <v>114</v>
      </c>
      <c r="BP7" s="128" t="s">
        <v>22</v>
      </c>
      <c r="BQ7" s="128" t="s">
        <v>118</v>
      </c>
      <c r="BR7" s="137"/>
      <c r="BS7" s="128" t="s">
        <v>124</v>
      </c>
      <c r="BT7" s="128" t="s">
        <v>122</v>
      </c>
      <c r="BU7" s="129" t="s">
        <v>5</v>
      </c>
      <c r="BV7" s="129" t="s">
        <v>8</v>
      </c>
      <c r="BW7" s="120"/>
      <c r="BX7" s="120"/>
      <c r="BY7" s="120"/>
      <c r="BZ7" s="120"/>
      <c r="CA7" s="120"/>
      <c r="CB7" s="112"/>
      <c r="CC7" s="280" t="s">
        <v>185</v>
      </c>
      <c r="CE7" s="112"/>
      <c r="CG7" s="112"/>
      <c r="CK7" s="339">
        <v>0.42</v>
      </c>
      <c r="CL7" s="339">
        <v>0.15</v>
      </c>
      <c r="CM7" s="339">
        <v>0.23</v>
      </c>
    </row>
    <row r="8" spans="1:97" s="61" customFormat="1" ht="1.9" customHeight="1" x14ac:dyDescent="0.2">
      <c r="A8" s="69">
        <v>1</v>
      </c>
      <c r="B8" s="69">
        <v>2</v>
      </c>
      <c r="C8" s="69">
        <v>3</v>
      </c>
      <c r="D8" s="69"/>
      <c r="E8" s="69"/>
      <c r="F8" s="69"/>
      <c r="G8" s="69">
        <v>4</v>
      </c>
      <c r="H8" s="69">
        <v>5</v>
      </c>
      <c r="I8" s="69">
        <v>6</v>
      </c>
      <c r="J8" s="69">
        <v>8</v>
      </c>
      <c r="K8" s="69">
        <v>9</v>
      </c>
      <c r="L8" s="69"/>
      <c r="M8" s="69">
        <v>10</v>
      </c>
      <c r="N8" s="69">
        <v>11</v>
      </c>
      <c r="O8" s="69"/>
      <c r="P8" s="61">
        <v>12</v>
      </c>
      <c r="Q8" s="61">
        <v>13</v>
      </c>
      <c r="R8" s="61">
        <v>14</v>
      </c>
      <c r="W8" s="61">
        <v>16</v>
      </c>
      <c r="X8" s="61">
        <v>17</v>
      </c>
      <c r="Y8" s="112"/>
      <c r="Z8" s="59"/>
      <c r="AA8" s="61">
        <v>16</v>
      </c>
      <c r="AB8" s="139"/>
      <c r="AC8" s="61">
        <v>19</v>
      </c>
      <c r="AD8" s="61">
        <v>20</v>
      </c>
      <c r="AH8" s="61">
        <v>8</v>
      </c>
      <c r="AI8" s="61">
        <v>6</v>
      </c>
      <c r="AK8" s="65"/>
      <c r="BH8" s="140"/>
    </row>
    <row r="9" spans="1:97" s="147" customFormat="1" ht="33.75" customHeight="1" x14ac:dyDescent="0.2">
      <c r="A9" s="141">
        <v>1</v>
      </c>
      <c r="B9" s="51"/>
      <c r="C9" s="51"/>
      <c r="D9" s="52" t="s">
        <v>82</v>
      </c>
      <c r="E9" s="46"/>
      <c r="F9" s="46"/>
      <c r="G9" s="53"/>
      <c r="H9" s="54"/>
      <c r="I9" s="47"/>
      <c r="J9" s="49"/>
      <c r="K9" s="48"/>
      <c r="L9" s="279"/>
      <c r="M9" s="47"/>
      <c r="N9" s="45"/>
      <c r="O9" s="142" t="str">
        <f t="shared" ref="O9:O19" si="2">+CC9</f>
        <v>- Invalid Line -</v>
      </c>
      <c r="P9" s="112"/>
      <c r="Q9" s="143">
        <f t="shared" ref="Q9:Q19" si="3">SUM(B9:C9)</f>
        <v>0</v>
      </c>
      <c r="R9" s="343"/>
      <c r="S9" s="343"/>
      <c r="T9" s="33"/>
      <c r="U9" s="33"/>
      <c r="V9" s="33"/>
      <c r="W9" s="33"/>
      <c r="X9" s="144">
        <f t="shared" ref="X9:X19" si="4">SUM(R9:W9)</f>
        <v>0</v>
      </c>
      <c r="Y9" s="112"/>
      <c r="Z9" s="341"/>
      <c r="AA9" s="337">
        <f>+CN9</f>
        <v>0</v>
      </c>
      <c r="AB9" s="145"/>
      <c r="AC9" s="146"/>
      <c r="AH9" s="148" t="str">
        <f t="shared" ref="AH9:AH19" si="5">IF(J9=2.25,"R ",IF(J9=2.5,"W ",IF(J9=3.25,"EW","")))</f>
        <v/>
      </c>
      <c r="AI9" s="148" t="str">
        <f t="shared" ref="AI9:AI19" si="6">+CONCATENATE(I9,AH9)</f>
        <v/>
      </c>
      <c r="AJ9" s="149"/>
      <c r="AK9" s="150"/>
      <c r="AL9" s="151">
        <f t="shared" ref="AL9:AL19" si="7">IF(D9="W",1,IF(D9="S",1,IF(D9="D",1,IF(D9="H",1,IF(D9="O",1,IF(D9="C",1,"Error**"))))))</f>
        <v>1</v>
      </c>
      <c r="AM9" s="152">
        <f t="shared" ref="AM9:AM19" si="8">IF(B9&lt;10,IF(B9&gt;96,10,0),0)</f>
        <v>0</v>
      </c>
      <c r="AN9" s="152">
        <f t="shared" ref="AN9:AN19" si="9">IF(C9&lt;10,IF(C9&gt;96,20,0),0)</f>
        <v>0</v>
      </c>
      <c r="AO9" s="151">
        <f t="shared" ref="AO9:AO19" si="10">IF(D9="W",0,IF(D9="S",0,IF(D9="D",0,IF(D9="H",0,IF(D9="O",0,IF(D9="C",0,30))))))</f>
        <v>0</v>
      </c>
      <c r="AP9" s="153">
        <f t="shared" ref="AP9:AP19" si="11">IF(D9&lt;&gt;"S",IF(E9&lt;&gt;0,31,0),0)</f>
        <v>0</v>
      </c>
      <c r="AQ9" s="153">
        <f t="shared" ref="AQ9:AQ19" si="12">IF(D9&lt;&gt;"S",IF(F9&lt;&gt;0,31,0),0)</f>
        <v>0</v>
      </c>
      <c r="AR9" s="152">
        <f t="shared" ref="AR9:AR19" si="13">IF(G9="Oak",0,IF(G9="Maple",0,IF(G9="Poplar",0,40)))</f>
        <v>40</v>
      </c>
      <c r="AS9" s="152">
        <f t="shared" ref="AS9:AS19" si="14">IF(B9&lt;&gt;0,IF(H9&lt;1,50, IF(H9&gt;6.5,51,0)),0)</f>
        <v>0</v>
      </c>
      <c r="AT9" s="152">
        <f t="shared" ref="AT9:AT19" si="15">IF(I9=113,0,IF(I9=115,0,IF(I9=118,0,70)))</f>
        <v>70</v>
      </c>
      <c r="AU9" s="152">
        <f t="shared" ref="AU9:AU19" si="16">IF(J9=2.25,0,IF(J9=2.5,0,IF(J9=3.25,0,80)))</f>
        <v>80</v>
      </c>
      <c r="AV9" s="152"/>
      <c r="AW9" s="152">
        <f t="shared" ref="AW9:AW19" si="17">IF(K9="006",0,IF(K9="007",0,IF(K9="009",0,IF(K9="011",0,IF(K9="001",0,100)))))</f>
        <v>100</v>
      </c>
      <c r="AX9" s="152">
        <f t="shared" ref="AX9:AX19" si="18">IF(L9&lt;0.5,IF(L9&gt;3,110,0),0)</f>
        <v>0</v>
      </c>
      <c r="AY9" s="152">
        <f t="shared" ref="AY9:AY19" si="19">IF(M9&gt;=1,IF(M9&lt;=23,0,IF(M9=30,0,121)),120)</f>
        <v>120</v>
      </c>
      <c r="AZ9" s="152"/>
      <c r="BA9" s="148">
        <f t="shared" ref="BA9:BA19" si="20">IF(M9=4,IF(G9="Oak",150,0),0)</f>
        <v>0</v>
      </c>
      <c r="BB9" s="148"/>
      <c r="BC9" s="148">
        <f t="shared" ref="BC9:BC19" si="21">IF(L9&gt;H9,160,0)</f>
        <v>0</v>
      </c>
      <c r="BE9" s="152"/>
      <c r="BF9" s="152"/>
      <c r="BG9" s="152">
        <f>SUM(AM9:BF9)</f>
        <v>410</v>
      </c>
      <c r="BH9" s="154"/>
      <c r="BI9" s="152" t="str">
        <f>IF(AM9=0,"",+AM$4)</f>
        <v/>
      </c>
      <c r="BJ9" s="152" t="str">
        <f t="shared" ref="BJ9:BJ24" si="22">IF(AN9=0,"",+AN$4)</f>
        <v/>
      </c>
      <c r="BK9" s="152" t="str">
        <f t="shared" ref="BK9:BK24" si="23">IF(AO9=0,"",+AO$4)</f>
        <v/>
      </c>
      <c r="BL9" s="152" t="str">
        <f t="shared" ref="BL9:BL24" si="24">IF(AP9=0,"",+AP$4)</f>
        <v/>
      </c>
      <c r="BM9" s="152" t="str">
        <f t="shared" ref="BM9:BM24" si="25">IF(AQ9=0,"",+AQ$4)</f>
        <v/>
      </c>
      <c r="BN9" s="152" t="str">
        <f t="shared" ref="BN9:BN24" si="26">IF(AR9=0,"",+AR$4)</f>
        <v xml:space="preserve">*Jamb Species not stock </v>
      </c>
      <c r="BO9" s="152" t="str">
        <f t="shared" ref="BO9:BO24" si="27">IF(AS9=0,"",+AS$4)</f>
        <v/>
      </c>
      <c r="BP9" s="152" t="str">
        <f t="shared" ref="BP9:BP24" si="28">IF(AT9=0,"",+AT$4)</f>
        <v xml:space="preserve">*Casing Profile not stock </v>
      </c>
      <c r="BQ9" s="152" t="str">
        <f t="shared" ref="BQ9:BQ24" si="29">IF(AU9=0,"",+AU$4)</f>
        <v xml:space="preserve">*Casing width not stock </v>
      </c>
      <c r="BR9" s="152" t="str">
        <f t="shared" ref="BR9:BR24" si="30">IF(AV9=0,"",+AV$4)</f>
        <v/>
      </c>
      <c r="BS9" s="152" t="str">
        <f t="shared" ref="BS9:BS24" si="31">IF(AW9=0,"",+AW$4)</f>
        <v xml:space="preserve">*Stop/Mull Profile not stock </v>
      </c>
      <c r="BT9" s="152" t="str">
        <f t="shared" ref="BT9:BT24" si="32">IF(AX9=0,"",+AX$4)</f>
        <v/>
      </c>
      <c r="BU9" s="152" t="str">
        <f t="shared" ref="BU9:BU24" si="33">IF(AY9=0,"",+AY$4)</f>
        <v>*Not a stock color</v>
      </c>
      <c r="BV9" s="152" t="str">
        <f t="shared" ref="BV9:BV19" si="34">IF(AZ9=0,"",+AZ$4)</f>
        <v/>
      </c>
      <c r="BW9" s="152" t="str">
        <f t="shared" ref="BW9:BW19" si="35">IF(BA9=0,"",+BA$4)</f>
        <v/>
      </c>
      <c r="BX9" s="152" t="str">
        <f t="shared" ref="BX9:BX19" si="36">IF(BB9=0,"",+BB$4)</f>
        <v/>
      </c>
      <c r="BY9" s="152" t="str">
        <f t="shared" ref="BY9:BY19" si="37">IF(BC9=0,"",+BC$4)</f>
        <v/>
      </c>
      <c r="BZ9" s="152" t="str">
        <f t="shared" ref="BZ9:BZ19" si="38">IF(BD9=0,"",+BD$4)</f>
        <v/>
      </c>
      <c r="CA9" s="152" t="str">
        <f t="shared" ref="CA9:CA19" si="39">IF(BE9=0,"",+BE$4)</f>
        <v/>
      </c>
      <c r="CC9" s="155" t="str">
        <f t="shared" ref="CC9:CC19" si="40">IF(B9&lt;&gt;"",+CONCATENATE(BI9,BJ9,BK9,BL9,BM9,BN9,BO9,BP9,BQ9,BS9,BT9,BU9,BV9,BW9,BX9,BY9,BZ9,CA9),"- Invalid Line -")</f>
        <v>- Invalid Line -</v>
      </c>
      <c r="CF9" s="156"/>
      <c r="CH9" s="340">
        <f t="shared" ref="CH9:CH19" si="41">+Q9</f>
        <v>0</v>
      </c>
      <c r="CI9" s="340">
        <f>+CH9*2/12</f>
        <v>0</v>
      </c>
      <c r="CJ9" s="340">
        <f t="shared" ref="CJ9:CJ19" si="42">+E9+H9</f>
        <v>0</v>
      </c>
      <c r="CK9" s="340">
        <f>IF(CP9&lt;&gt;0,+CI9*$CK$7,0)</f>
        <v>0</v>
      </c>
      <c r="CL9" s="340">
        <f>IF(CQ9&lt;&gt;0,+CI9*$CL$7,0)</f>
        <v>0</v>
      </c>
      <c r="CM9" s="340">
        <f>+CI9*CJ9*$CM$7</f>
        <v>0</v>
      </c>
      <c r="CN9" s="340">
        <f>SUM(CK9:CM9)</f>
        <v>0</v>
      </c>
      <c r="CO9" s="340">
        <f>+H9</f>
        <v>0</v>
      </c>
      <c r="CP9" s="340">
        <f>+J9</f>
        <v>0</v>
      </c>
      <c r="CQ9" s="340">
        <f>+L9</f>
        <v>0</v>
      </c>
      <c r="CS9" s="147">
        <f>+AT9</f>
        <v>70</v>
      </c>
    </row>
    <row r="10" spans="1:97" s="147" customFormat="1" ht="34.5" customHeight="1" x14ac:dyDescent="0.2">
      <c r="A10" s="157">
        <v>2</v>
      </c>
      <c r="B10" s="51"/>
      <c r="C10" s="51"/>
      <c r="D10" s="52" t="s">
        <v>82</v>
      </c>
      <c r="E10" s="46"/>
      <c r="F10" s="46"/>
      <c r="G10" s="53"/>
      <c r="H10" s="54"/>
      <c r="I10" s="47"/>
      <c r="J10" s="49"/>
      <c r="K10" s="48"/>
      <c r="L10" s="279" t="str">
        <f t="shared" ref="L10:L11" si="43">IF(K10="","",IF(K10="006",IF(H10&gt;2,1.25,1), IF(K10="007",2, IF(K10="009",0.75, IF(K10="011",1.25,IF(K10="001",0.75,0.754))))))</f>
        <v/>
      </c>
      <c r="M10" s="47" t="str">
        <f t="shared" ref="M10:M15" si="44">IF(M9="","",+M9)</f>
        <v/>
      </c>
      <c r="N10" s="45"/>
      <c r="O10" s="142" t="str">
        <f t="shared" si="2"/>
        <v>- Invalid Line -</v>
      </c>
      <c r="P10" s="112"/>
      <c r="Q10" s="143">
        <f t="shared" si="3"/>
        <v>0</v>
      </c>
      <c r="R10" s="343"/>
      <c r="S10" s="343"/>
      <c r="T10" s="33"/>
      <c r="U10" s="33"/>
      <c r="V10" s="33"/>
      <c r="W10" s="33"/>
      <c r="X10" s="144">
        <f t="shared" si="4"/>
        <v>0</v>
      </c>
      <c r="Y10" s="112"/>
      <c r="Z10" s="341"/>
      <c r="AA10" s="337">
        <f t="shared" ref="AA10:AA24" si="45">+CN10</f>
        <v>0</v>
      </c>
      <c r="AB10" s="145"/>
      <c r="AC10" s="146"/>
      <c r="AH10" s="148" t="str">
        <f t="shared" si="5"/>
        <v/>
      </c>
      <c r="AI10" s="148" t="str">
        <f t="shared" si="6"/>
        <v/>
      </c>
      <c r="AK10" s="150"/>
      <c r="AL10" s="151">
        <f t="shared" si="7"/>
        <v>1</v>
      </c>
      <c r="AM10" s="152">
        <f t="shared" si="8"/>
        <v>0</v>
      </c>
      <c r="AN10" s="152">
        <f t="shared" si="9"/>
        <v>0</v>
      </c>
      <c r="AO10" s="151">
        <f t="shared" si="10"/>
        <v>0</v>
      </c>
      <c r="AP10" s="153">
        <f t="shared" si="11"/>
        <v>0</v>
      </c>
      <c r="AQ10" s="153">
        <f t="shared" si="12"/>
        <v>0</v>
      </c>
      <c r="AR10" s="152">
        <f t="shared" si="13"/>
        <v>40</v>
      </c>
      <c r="AS10" s="152">
        <f t="shared" si="14"/>
        <v>0</v>
      </c>
      <c r="AT10" s="152">
        <f t="shared" si="15"/>
        <v>70</v>
      </c>
      <c r="AU10" s="152">
        <f t="shared" si="16"/>
        <v>80</v>
      </c>
      <c r="AV10" s="152"/>
      <c r="AW10" s="152">
        <f t="shared" si="17"/>
        <v>100</v>
      </c>
      <c r="AX10" s="152">
        <f t="shared" si="18"/>
        <v>0</v>
      </c>
      <c r="AY10" s="152">
        <f t="shared" si="19"/>
        <v>121</v>
      </c>
      <c r="AZ10" s="152"/>
      <c r="BA10" s="148">
        <f t="shared" si="20"/>
        <v>0</v>
      </c>
      <c r="BB10" s="148"/>
      <c r="BC10" s="148">
        <f t="shared" si="21"/>
        <v>0</v>
      </c>
      <c r="BE10" s="152"/>
      <c r="BF10" s="152"/>
      <c r="BG10" s="152">
        <f t="shared" ref="BG10:BG24" si="46">SUM(AM10:BF10)</f>
        <v>411</v>
      </c>
      <c r="BH10" s="154"/>
      <c r="BI10" s="152" t="str">
        <f t="shared" ref="BI10:BI24" si="47">IF(AM10=0,"",+AM$4)</f>
        <v/>
      </c>
      <c r="BJ10" s="152" t="str">
        <f t="shared" si="22"/>
        <v/>
      </c>
      <c r="BK10" s="152" t="str">
        <f t="shared" si="23"/>
        <v/>
      </c>
      <c r="BL10" s="152" t="str">
        <f t="shared" si="24"/>
        <v/>
      </c>
      <c r="BM10" s="152" t="str">
        <f t="shared" si="25"/>
        <v/>
      </c>
      <c r="BN10" s="152" t="str">
        <f t="shared" si="26"/>
        <v xml:space="preserve">*Jamb Species not stock </v>
      </c>
      <c r="BO10" s="152" t="str">
        <f t="shared" si="27"/>
        <v/>
      </c>
      <c r="BP10" s="152" t="str">
        <f t="shared" si="28"/>
        <v xml:space="preserve">*Casing Profile not stock </v>
      </c>
      <c r="BQ10" s="152" t="str">
        <f t="shared" si="29"/>
        <v xml:space="preserve">*Casing width not stock </v>
      </c>
      <c r="BR10" s="152" t="str">
        <f t="shared" si="30"/>
        <v/>
      </c>
      <c r="BS10" s="152" t="str">
        <f t="shared" si="31"/>
        <v xml:space="preserve">*Stop/Mull Profile not stock </v>
      </c>
      <c r="BT10" s="152" t="str">
        <f t="shared" si="32"/>
        <v/>
      </c>
      <c r="BU10" s="152" t="str">
        <f t="shared" si="33"/>
        <v>*Not a stock color</v>
      </c>
      <c r="BV10" s="152" t="str">
        <f t="shared" si="34"/>
        <v/>
      </c>
      <c r="BW10" s="152" t="str">
        <f t="shared" si="35"/>
        <v/>
      </c>
      <c r="BX10" s="152" t="str">
        <f t="shared" si="36"/>
        <v/>
      </c>
      <c r="BY10" s="152" t="str">
        <f t="shared" si="37"/>
        <v/>
      </c>
      <c r="BZ10" s="152" t="str">
        <f t="shared" si="38"/>
        <v/>
      </c>
      <c r="CA10" s="152" t="str">
        <f t="shared" si="39"/>
        <v/>
      </c>
      <c r="CC10" s="155" t="str">
        <f t="shared" si="40"/>
        <v>- Invalid Line -</v>
      </c>
      <c r="CF10" s="156"/>
      <c r="CH10" s="340">
        <f t="shared" si="41"/>
        <v>0</v>
      </c>
      <c r="CI10" s="340">
        <f t="shared" ref="CI10:CI19" si="48">+CH10*2/12</f>
        <v>0</v>
      </c>
      <c r="CJ10" s="340">
        <f t="shared" si="42"/>
        <v>0</v>
      </c>
      <c r="CK10" s="340">
        <f t="shared" ref="CK10:CK19" si="49">IF(CP10&lt;&gt;0,+CI10*$CK$7,0)</f>
        <v>0</v>
      </c>
      <c r="CL10" s="340">
        <f t="shared" ref="CL10:CL19" si="50">IF(CQ10&lt;&gt;0,+CI10*$CL$7,0)</f>
        <v>0</v>
      </c>
      <c r="CM10" s="340">
        <f t="shared" ref="CM10:CM19" si="51">+CI10*CJ10*$CM$7</f>
        <v>0</v>
      </c>
      <c r="CN10" s="340">
        <f t="shared" ref="CN10:CN19" si="52">SUM(CK10:CM10)</f>
        <v>0</v>
      </c>
      <c r="CO10" s="340">
        <f t="shared" ref="CO10:CO19" si="53">+H10</f>
        <v>0</v>
      </c>
      <c r="CP10" s="340">
        <f t="shared" ref="CP10:CP19" si="54">+J10</f>
        <v>0</v>
      </c>
      <c r="CQ10" s="340" t="str">
        <f t="shared" ref="CQ10:CQ24" si="55">+L10</f>
        <v/>
      </c>
    </row>
    <row r="11" spans="1:97" s="147" customFormat="1" ht="35.1" customHeight="1" x14ac:dyDescent="0.2">
      <c r="A11" s="157">
        <v>3</v>
      </c>
      <c r="B11" s="51"/>
      <c r="C11" s="51"/>
      <c r="D11" s="52" t="s">
        <v>82</v>
      </c>
      <c r="E11" s="46"/>
      <c r="F11" s="46"/>
      <c r="G11" s="53"/>
      <c r="H11" s="54"/>
      <c r="I11" s="47"/>
      <c r="J11" s="49"/>
      <c r="K11" s="48"/>
      <c r="L11" s="279" t="str">
        <f t="shared" si="43"/>
        <v/>
      </c>
      <c r="M11" s="47" t="str">
        <f t="shared" si="44"/>
        <v/>
      </c>
      <c r="N11" s="45"/>
      <c r="O11" s="142" t="str">
        <f t="shared" si="2"/>
        <v>- Invalid Line -</v>
      </c>
      <c r="P11" s="112"/>
      <c r="Q11" s="143">
        <f t="shared" si="3"/>
        <v>0</v>
      </c>
      <c r="R11" s="343"/>
      <c r="S11" s="343"/>
      <c r="T11" s="33"/>
      <c r="U11" s="33"/>
      <c r="V11" s="33"/>
      <c r="W11" s="33"/>
      <c r="X11" s="144">
        <f t="shared" si="4"/>
        <v>0</v>
      </c>
      <c r="Y11" s="112"/>
      <c r="Z11" s="341"/>
      <c r="AA11" s="337">
        <f t="shared" si="45"/>
        <v>0</v>
      </c>
      <c r="AB11" s="145"/>
      <c r="AC11" s="146"/>
      <c r="AH11" s="148" t="str">
        <f t="shared" si="5"/>
        <v/>
      </c>
      <c r="AI11" s="148" t="str">
        <f t="shared" si="6"/>
        <v/>
      </c>
      <c r="AK11" s="150"/>
      <c r="AL11" s="151">
        <f t="shared" si="7"/>
        <v>1</v>
      </c>
      <c r="AM11" s="152">
        <f t="shared" si="8"/>
        <v>0</v>
      </c>
      <c r="AN11" s="152">
        <f t="shared" si="9"/>
        <v>0</v>
      </c>
      <c r="AO11" s="151">
        <f t="shared" si="10"/>
        <v>0</v>
      </c>
      <c r="AP11" s="153">
        <f t="shared" si="11"/>
        <v>0</v>
      </c>
      <c r="AQ11" s="153">
        <f t="shared" si="12"/>
        <v>0</v>
      </c>
      <c r="AR11" s="152">
        <f t="shared" si="13"/>
        <v>40</v>
      </c>
      <c r="AS11" s="152">
        <f t="shared" si="14"/>
        <v>0</v>
      </c>
      <c r="AT11" s="152">
        <f t="shared" si="15"/>
        <v>70</v>
      </c>
      <c r="AU11" s="152">
        <f t="shared" si="16"/>
        <v>80</v>
      </c>
      <c r="AV11" s="152"/>
      <c r="AW11" s="152">
        <f t="shared" si="17"/>
        <v>100</v>
      </c>
      <c r="AX11" s="152">
        <f t="shared" si="18"/>
        <v>0</v>
      </c>
      <c r="AY11" s="152">
        <f t="shared" si="19"/>
        <v>121</v>
      </c>
      <c r="AZ11" s="152"/>
      <c r="BA11" s="148">
        <f t="shared" si="20"/>
        <v>0</v>
      </c>
      <c r="BB11" s="148"/>
      <c r="BC11" s="148">
        <f t="shared" si="21"/>
        <v>0</v>
      </c>
      <c r="BE11" s="152"/>
      <c r="BF11" s="152"/>
      <c r="BG11" s="152">
        <f t="shared" si="46"/>
        <v>411</v>
      </c>
      <c r="BH11" s="154"/>
      <c r="BI11" s="152" t="str">
        <f t="shared" si="47"/>
        <v/>
      </c>
      <c r="BJ11" s="152" t="str">
        <f t="shared" si="22"/>
        <v/>
      </c>
      <c r="BK11" s="152" t="str">
        <f t="shared" si="23"/>
        <v/>
      </c>
      <c r="BL11" s="152" t="str">
        <f t="shared" si="24"/>
        <v/>
      </c>
      <c r="BM11" s="152" t="str">
        <f t="shared" si="25"/>
        <v/>
      </c>
      <c r="BN11" s="152" t="str">
        <f t="shared" si="26"/>
        <v xml:space="preserve">*Jamb Species not stock </v>
      </c>
      <c r="BO11" s="152" t="str">
        <f t="shared" si="27"/>
        <v/>
      </c>
      <c r="BP11" s="152" t="str">
        <f t="shared" si="28"/>
        <v xml:space="preserve">*Casing Profile not stock </v>
      </c>
      <c r="BQ11" s="152" t="str">
        <f t="shared" si="29"/>
        <v xml:space="preserve">*Casing width not stock </v>
      </c>
      <c r="BR11" s="152" t="str">
        <f t="shared" si="30"/>
        <v/>
      </c>
      <c r="BS11" s="152" t="str">
        <f t="shared" si="31"/>
        <v xml:space="preserve">*Stop/Mull Profile not stock </v>
      </c>
      <c r="BT11" s="152" t="str">
        <f t="shared" si="32"/>
        <v/>
      </c>
      <c r="BU11" s="152" t="str">
        <f t="shared" si="33"/>
        <v>*Not a stock color</v>
      </c>
      <c r="BV11" s="152" t="str">
        <f t="shared" si="34"/>
        <v/>
      </c>
      <c r="BW11" s="152" t="str">
        <f t="shared" si="35"/>
        <v/>
      </c>
      <c r="BX11" s="152" t="str">
        <f t="shared" si="36"/>
        <v/>
      </c>
      <c r="BY11" s="152" t="str">
        <f t="shared" si="37"/>
        <v/>
      </c>
      <c r="BZ11" s="152" t="str">
        <f t="shared" si="38"/>
        <v/>
      </c>
      <c r="CA11" s="152" t="str">
        <f t="shared" si="39"/>
        <v/>
      </c>
      <c r="CC11" s="155" t="str">
        <f t="shared" si="40"/>
        <v>- Invalid Line -</v>
      </c>
      <c r="CF11" s="156"/>
      <c r="CH11" s="340">
        <f t="shared" si="41"/>
        <v>0</v>
      </c>
      <c r="CI11" s="340">
        <f t="shared" si="48"/>
        <v>0</v>
      </c>
      <c r="CJ11" s="340">
        <f t="shared" si="42"/>
        <v>0</v>
      </c>
      <c r="CK11" s="340">
        <f t="shared" si="49"/>
        <v>0</v>
      </c>
      <c r="CL11" s="340">
        <f t="shared" si="50"/>
        <v>0</v>
      </c>
      <c r="CM11" s="340">
        <f t="shared" si="51"/>
        <v>0</v>
      </c>
      <c r="CN11" s="340">
        <f t="shared" si="52"/>
        <v>0</v>
      </c>
      <c r="CO11" s="340">
        <f t="shared" si="53"/>
        <v>0</v>
      </c>
      <c r="CP11" s="340">
        <f t="shared" si="54"/>
        <v>0</v>
      </c>
      <c r="CQ11" s="340" t="str">
        <f t="shared" si="55"/>
        <v/>
      </c>
    </row>
    <row r="12" spans="1:97" s="147" customFormat="1" ht="35.1" customHeight="1" x14ac:dyDescent="0.2">
      <c r="A12" s="157">
        <v>4</v>
      </c>
      <c r="B12" s="51"/>
      <c r="C12" s="51"/>
      <c r="D12" s="52" t="s">
        <v>82</v>
      </c>
      <c r="E12" s="46"/>
      <c r="F12" s="46"/>
      <c r="G12" s="53"/>
      <c r="H12" s="54"/>
      <c r="I12" s="47"/>
      <c r="J12" s="49"/>
      <c r="K12" s="48"/>
      <c r="L12" s="279" t="str">
        <f t="shared" ref="L12:L13" si="56">IF(K12="","",IF(K12="006",IF(H12&gt;2,1.25,1), IF(K12="007",2, IF(K12="009",0.75, IF(K12="011",1.25,IF(K12="001",0.75,0.754))))))</f>
        <v/>
      </c>
      <c r="M12" s="47" t="str">
        <f t="shared" si="44"/>
        <v/>
      </c>
      <c r="N12" s="45"/>
      <c r="O12" s="142" t="str">
        <f t="shared" si="2"/>
        <v>- Invalid Line -</v>
      </c>
      <c r="P12" s="112"/>
      <c r="Q12" s="143">
        <f t="shared" si="3"/>
        <v>0</v>
      </c>
      <c r="R12" s="343"/>
      <c r="S12" s="343"/>
      <c r="T12" s="33"/>
      <c r="U12" s="33"/>
      <c r="V12" s="33"/>
      <c r="W12" s="33"/>
      <c r="X12" s="144">
        <f t="shared" si="4"/>
        <v>0</v>
      </c>
      <c r="Y12" s="112"/>
      <c r="Z12" s="341"/>
      <c r="AA12" s="337">
        <f t="shared" si="45"/>
        <v>0</v>
      </c>
      <c r="AB12" s="145"/>
      <c r="AC12" s="146"/>
      <c r="AH12" s="148" t="str">
        <f t="shared" si="5"/>
        <v/>
      </c>
      <c r="AI12" s="148" t="str">
        <f t="shared" si="6"/>
        <v/>
      </c>
      <c r="AK12" s="150"/>
      <c r="AL12" s="151">
        <f t="shared" si="7"/>
        <v>1</v>
      </c>
      <c r="AM12" s="152">
        <f t="shared" si="8"/>
        <v>0</v>
      </c>
      <c r="AN12" s="152">
        <f t="shared" si="9"/>
        <v>0</v>
      </c>
      <c r="AO12" s="151">
        <f t="shared" si="10"/>
        <v>0</v>
      </c>
      <c r="AP12" s="153">
        <f t="shared" si="11"/>
        <v>0</v>
      </c>
      <c r="AQ12" s="153">
        <f t="shared" si="12"/>
        <v>0</v>
      </c>
      <c r="AR12" s="152">
        <f t="shared" si="13"/>
        <v>40</v>
      </c>
      <c r="AS12" s="152">
        <f t="shared" si="14"/>
        <v>0</v>
      </c>
      <c r="AT12" s="152">
        <f t="shared" si="15"/>
        <v>70</v>
      </c>
      <c r="AU12" s="152">
        <f t="shared" si="16"/>
        <v>80</v>
      </c>
      <c r="AV12" s="152"/>
      <c r="AW12" s="152">
        <f t="shared" si="17"/>
        <v>100</v>
      </c>
      <c r="AX12" s="152">
        <f t="shared" si="18"/>
        <v>0</v>
      </c>
      <c r="AY12" s="152">
        <f t="shared" si="19"/>
        <v>121</v>
      </c>
      <c r="AZ12" s="152"/>
      <c r="BA12" s="148">
        <f t="shared" si="20"/>
        <v>0</v>
      </c>
      <c r="BB12" s="148"/>
      <c r="BC12" s="148">
        <f t="shared" si="21"/>
        <v>0</v>
      </c>
      <c r="BE12" s="152"/>
      <c r="BF12" s="152"/>
      <c r="BG12" s="152">
        <f t="shared" si="46"/>
        <v>411</v>
      </c>
      <c r="BH12" s="154"/>
      <c r="BI12" s="152" t="str">
        <f t="shared" si="47"/>
        <v/>
      </c>
      <c r="BJ12" s="152" t="str">
        <f t="shared" si="22"/>
        <v/>
      </c>
      <c r="BK12" s="152" t="str">
        <f t="shared" si="23"/>
        <v/>
      </c>
      <c r="BL12" s="152" t="str">
        <f t="shared" si="24"/>
        <v/>
      </c>
      <c r="BM12" s="152" t="str">
        <f t="shared" si="25"/>
        <v/>
      </c>
      <c r="BN12" s="152" t="str">
        <f t="shared" si="26"/>
        <v xml:space="preserve">*Jamb Species not stock </v>
      </c>
      <c r="BO12" s="152" t="str">
        <f t="shared" si="27"/>
        <v/>
      </c>
      <c r="BP12" s="152" t="str">
        <f t="shared" si="28"/>
        <v xml:space="preserve">*Casing Profile not stock </v>
      </c>
      <c r="BQ12" s="152" t="str">
        <f t="shared" si="29"/>
        <v xml:space="preserve">*Casing width not stock </v>
      </c>
      <c r="BR12" s="152" t="str">
        <f t="shared" si="30"/>
        <v/>
      </c>
      <c r="BS12" s="152" t="str">
        <f t="shared" si="31"/>
        <v xml:space="preserve">*Stop/Mull Profile not stock </v>
      </c>
      <c r="BT12" s="152" t="str">
        <f t="shared" si="32"/>
        <v/>
      </c>
      <c r="BU12" s="152" t="str">
        <f t="shared" si="33"/>
        <v>*Not a stock color</v>
      </c>
      <c r="BV12" s="152" t="str">
        <f t="shared" si="34"/>
        <v/>
      </c>
      <c r="BW12" s="152" t="str">
        <f t="shared" si="35"/>
        <v/>
      </c>
      <c r="BX12" s="152" t="str">
        <f t="shared" si="36"/>
        <v/>
      </c>
      <c r="BY12" s="152" t="str">
        <f t="shared" si="37"/>
        <v/>
      </c>
      <c r="BZ12" s="152" t="str">
        <f t="shared" si="38"/>
        <v/>
      </c>
      <c r="CA12" s="152" t="str">
        <f t="shared" si="39"/>
        <v/>
      </c>
      <c r="CC12" s="155" t="str">
        <f t="shared" si="40"/>
        <v>- Invalid Line -</v>
      </c>
      <c r="CF12" s="156"/>
      <c r="CH12" s="340">
        <f t="shared" si="41"/>
        <v>0</v>
      </c>
      <c r="CI12" s="340">
        <f t="shared" si="48"/>
        <v>0</v>
      </c>
      <c r="CJ12" s="340">
        <f t="shared" si="42"/>
        <v>0</v>
      </c>
      <c r="CK12" s="340">
        <f t="shared" si="49"/>
        <v>0</v>
      </c>
      <c r="CL12" s="340">
        <f t="shared" si="50"/>
        <v>0</v>
      </c>
      <c r="CM12" s="340">
        <f t="shared" si="51"/>
        <v>0</v>
      </c>
      <c r="CN12" s="340">
        <f t="shared" si="52"/>
        <v>0</v>
      </c>
      <c r="CO12" s="340">
        <f t="shared" si="53"/>
        <v>0</v>
      </c>
      <c r="CP12" s="340">
        <f t="shared" si="54"/>
        <v>0</v>
      </c>
      <c r="CQ12" s="340" t="str">
        <f t="shared" si="55"/>
        <v/>
      </c>
    </row>
    <row r="13" spans="1:97" s="147" customFormat="1" ht="35.1" customHeight="1" x14ac:dyDescent="0.2">
      <c r="A13" s="157">
        <v>5</v>
      </c>
      <c r="B13" s="51"/>
      <c r="C13" s="51"/>
      <c r="D13" s="52" t="s">
        <v>82</v>
      </c>
      <c r="E13" s="46"/>
      <c r="F13" s="46"/>
      <c r="G13" s="53"/>
      <c r="H13" s="54"/>
      <c r="I13" s="47"/>
      <c r="J13" s="49"/>
      <c r="K13" s="48"/>
      <c r="L13" s="279" t="str">
        <f t="shared" si="56"/>
        <v/>
      </c>
      <c r="M13" s="47" t="str">
        <f t="shared" si="44"/>
        <v/>
      </c>
      <c r="N13" s="45"/>
      <c r="O13" s="142" t="str">
        <f t="shared" si="2"/>
        <v>- Invalid Line -</v>
      </c>
      <c r="P13" s="112"/>
      <c r="Q13" s="143">
        <f t="shared" si="3"/>
        <v>0</v>
      </c>
      <c r="R13" s="343"/>
      <c r="S13" s="343"/>
      <c r="T13" s="33"/>
      <c r="U13" s="33"/>
      <c r="V13" s="33"/>
      <c r="W13" s="33"/>
      <c r="X13" s="144">
        <f t="shared" si="4"/>
        <v>0</v>
      </c>
      <c r="Y13" s="112"/>
      <c r="Z13" s="341"/>
      <c r="AA13" s="337">
        <f t="shared" si="45"/>
        <v>0</v>
      </c>
      <c r="AB13" s="145"/>
      <c r="AC13" s="146"/>
      <c r="AH13" s="148" t="str">
        <f t="shared" si="5"/>
        <v/>
      </c>
      <c r="AI13" s="148" t="str">
        <f t="shared" si="6"/>
        <v/>
      </c>
      <c r="AK13" s="150"/>
      <c r="AL13" s="151">
        <f t="shared" si="7"/>
        <v>1</v>
      </c>
      <c r="AM13" s="152">
        <f t="shared" si="8"/>
        <v>0</v>
      </c>
      <c r="AN13" s="152">
        <f t="shared" si="9"/>
        <v>0</v>
      </c>
      <c r="AO13" s="151">
        <f t="shared" si="10"/>
        <v>0</v>
      </c>
      <c r="AP13" s="153">
        <f t="shared" si="11"/>
        <v>0</v>
      </c>
      <c r="AQ13" s="153">
        <f t="shared" si="12"/>
        <v>0</v>
      </c>
      <c r="AR13" s="152">
        <f t="shared" si="13"/>
        <v>40</v>
      </c>
      <c r="AS13" s="152">
        <f t="shared" si="14"/>
        <v>0</v>
      </c>
      <c r="AT13" s="152">
        <f t="shared" si="15"/>
        <v>70</v>
      </c>
      <c r="AU13" s="152">
        <f t="shared" si="16"/>
        <v>80</v>
      </c>
      <c r="AV13" s="152"/>
      <c r="AW13" s="152">
        <f t="shared" si="17"/>
        <v>100</v>
      </c>
      <c r="AX13" s="152">
        <f t="shared" si="18"/>
        <v>0</v>
      </c>
      <c r="AY13" s="152">
        <f t="shared" si="19"/>
        <v>121</v>
      </c>
      <c r="AZ13" s="152"/>
      <c r="BA13" s="148">
        <f t="shared" si="20"/>
        <v>0</v>
      </c>
      <c r="BB13" s="148"/>
      <c r="BC13" s="148">
        <f t="shared" si="21"/>
        <v>0</v>
      </c>
      <c r="BE13" s="152"/>
      <c r="BF13" s="152"/>
      <c r="BG13" s="152">
        <f t="shared" si="46"/>
        <v>411</v>
      </c>
      <c r="BH13" s="154"/>
      <c r="BI13" s="152" t="str">
        <f t="shared" si="47"/>
        <v/>
      </c>
      <c r="BJ13" s="152" t="str">
        <f t="shared" si="22"/>
        <v/>
      </c>
      <c r="BK13" s="152" t="str">
        <f t="shared" si="23"/>
        <v/>
      </c>
      <c r="BL13" s="152" t="str">
        <f t="shared" si="24"/>
        <v/>
      </c>
      <c r="BM13" s="152" t="str">
        <f t="shared" si="25"/>
        <v/>
      </c>
      <c r="BN13" s="152" t="str">
        <f t="shared" si="26"/>
        <v xml:space="preserve">*Jamb Species not stock </v>
      </c>
      <c r="BO13" s="152" t="str">
        <f t="shared" si="27"/>
        <v/>
      </c>
      <c r="BP13" s="152" t="str">
        <f t="shared" si="28"/>
        <v xml:space="preserve">*Casing Profile not stock </v>
      </c>
      <c r="BQ13" s="152" t="str">
        <f t="shared" si="29"/>
        <v xml:space="preserve">*Casing width not stock </v>
      </c>
      <c r="BR13" s="152" t="str">
        <f t="shared" si="30"/>
        <v/>
      </c>
      <c r="BS13" s="152" t="str">
        <f t="shared" si="31"/>
        <v xml:space="preserve">*Stop/Mull Profile not stock </v>
      </c>
      <c r="BT13" s="152" t="str">
        <f t="shared" si="32"/>
        <v/>
      </c>
      <c r="BU13" s="152" t="str">
        <f t="shared" si="33"/>
        <v>*Not a stock color</v>
      </c>
      <c r="BV13" s="152" t="str">
        <f t="shared" si="34"/>
        <v/>
      </c>
      <c r="BW13" s="152" t="str">
        <f t="shared" si="35"/>
        <v/>
      </c>
      <c r="BX13" s="152" t="str">
        <f t="shared" si="36"/>
        <v/>
      </c>
      <c r="BY13" s="152" t="str">
        <f t="shared" si="37"/>
        <v/>
      </c>
      <c r="BZ13" s="152" t="str">
        <f t="shared" si="38"/>
        <v/>
      </c>
      <c r="CA13" s="152" t="str">
        <f t="shared" si="39"/>
        <v/>
      </c>
      <c r="CC13" s="155" t="str">
        <f t="shared" si="40"/>
        <v>- Invalid Line -</v>
      </c>
      <c r="CF13" s="156"/>
      <c r="CH13" s="340">
        <f t="shared" si="41"/>
        <v>0</v>
      </c>
      <c r="CI13" s="340">
        <f t="shared" si="48"/>
        <v>0</v>
      </c>
      <c r="CJ13" s="340">
        <f t="shared" si="42"/>
        <v>0</v>
      </c>
      <c r="CK13" s="340">
        <f t="shared" si="49"/>
        <v>0</v>
      </c>
      <c r="CL13" s="340">
        <f t="shared" si="50"/>
        <v>0</v>
      </c>
      <c r="CM13" s="340">
        <f t="shared" si="51"/>
        <v>0</v>
      </c>
      <c r="CN13" s="340">
        <f t="shared" si="52"/>
        <v>0</v>
      </c>
      <c r="CO13" s="340">
        <f t="shared" si="53"/>
        <v>0</v>
      </c>
      <c r="CP13" s="340">
        <f t="shared" si="54"/>
        <v>0</v>
      </c>
      <c r="CQ13" s="340" t="str">
        <f t="shared" si="55"/>
        <v/>
      </c>
    </row>
    <row r="14" spans="1:97" s="147" customFormat="1" ht="35.1" customHeight="1" x14ac:dyDescent="0.2">
      <c r="A14" s="157">
        <v>6</v>
      </c>
      <c r="B14" s="51"/>
      <c r="C14" s="51"/>
      <c r="D14" s="52" t="s">
        <v>82</v>
      </c>
      <c r="E14" s="46"/>
      <c r="F14" s="46"/>
      <c r="G14" s="53"/>
      <c r="H14" s="54"/>
      <c r="I14" s="47"/>
      <c r="J14" s="49"/>
      <c r="K14" s="48"/>
      <c r="L14" s="279" t="str">
        <f t="shared" ref="L14:L19" si="57">IF(K14="","",IF(K14="006",IF(H14&gt;2,1.25,1), IF(K14="007",2, IF(K14="009",0.75, IF(K14="011",1.25,IF(K14="001",0.75,0.754))))))</f>
        <v/>
      </c>
      <c r="M14" s="47" t="str">
        <f t="shared" si="44"/>
        <v/>
      </c>
      <c r="N14" s="45"/>
      <c r="O14" s="142" t="str">
        <f t="shared" si="2"/>
        <v>- Invalid Line -</v>
      </c>
      <c r="P14" s="112"/>
      <c r="Q14" s="143">
        <f t="shared" si="3"/>
        <v>0</v>
      </c>
      <c r="R14" s="343"/>
      <c r="S14" s="343"/>
      <c r="T14" s="33"/>
      <c r="U14" s="33"/>
      <c r="V14" s="33"/>
      <c r="W14" s="33"/>
      <c r="X14" s="144">
        <f t="shared" si="4"/>
        <v>0</v>
      </c>
      <c r="Y14" s="112"/>
      <c r="Z14" s="341"/>
      <c r="AA14" s="337">
        <f t="shared" si="45"/>
        <v>0</v>
      </c>
      <c r="AB14" s="145"/>
      <c r="AC14" s="146"/>
      <c r="AH14" s="148" t="str">
        <f t="shared" si="5"/>
        <v/>
      </c>
      <c r="AI14" s="148" t="str">
        <f t="shared" si="6"/>
        <v/>
      </c>
      <c r="AK14" s="150"/>
      <c r="AL14" s="151">
        <f t="shared" si="7"/>
        <v>1</v>
      </c>
      <c r="AM14" s="152">
        <f t="shared" si="8"/>
        <v>0</v>
      </c>
      <c r="AN14" s="152">
        <f t="shared" si="9"/>
        <v>0</v>
      </c>
      <c r="AO14" s="151">
        <f t="shared" si="10"/>
        <v>0</v>
      </c>
      <c r="AP14" s="153">
        <f t="shared" si="11"/>
        <v>0</v>
      </c>
      <c r="AQ14" s="153">
        <f t="shared" si="12"/>
        <v>0</v>
      </c>
      <c r="AR14" s="152">
        <f t="shared" si="13"/>
        <v>40</v>
      </c>
      <c r="AS14" s="152">
        <f t="shared" si="14"/>
        <v>0</v>
      </c>
      <c r="AT14" s="152">
        <f t="shared" si="15"/>
        <v>70</v>
      </c>
      <c r="AU14" s="152">
        <f t="shared" si="16"/>
        <v>80</v>
      </c>
      <c r="AV14" s="152"/>
      <c r="AW14" s="152">
        <f t="shared" si="17"/>
        <v>100</v>
      </c>
      <c r="AX14" s="152">
        <f t="shared" si="18"/>
        <v>0</v>
      </c>
      <c r="AY14" s="152">
        <f t="shared" si="19"/>
        <v>121</v>
      </c>
      <c r="AZ14" s="152"/>
      <c r="BA14" s="148">
        <f t="shared" si="20"/>
        <v>0</v>
      </c>
      <c r="BB14" s="148"/>
      <c r="BC14" s="148">
        <f t="shared" si="21"/>
        <v>0</v>
      </c>
      <c r="BE14" s="152"/>
      <c r="BF14" s="152"/>
      <c r="BG14" s="152">
        <f t="shared" si="46"/>
        <v>411</v>
      </c>
      <c r="BH14" s="154"/>
      <c r="BI14" s="152" t="str">
        <f t="shared" si="47"/>
        <v/>
      </c>
      <c r="BJ14" s="152" t="str">
        <f t="shared" si="22"/>
        <v/>
      </c>
      <c r="BK14" s="152" t="str">
        <f t="shared" si="23"/>
        <v/>
      </c>
      <c r="BL14" s="152" t="str">
        <f t="shared" si="24"/>
        <v/>
      </c>
      <c r="BM14" s="152" t="str">
        <f t="shared" si="25"/>
        <v/>
      </c>
      <c r="BN14" s="152" t="str">
        <f t="shared" si="26"/>
        <v xml:space="preserve">*Jamb Species not stock </v>
      </c>
      <c r="BO14" s="152" t="str">
        <f t="shared" si="27"/>
        <v/>
      </c>
      <c r="BP14" s="152" t="str">
        <f t="shared" si="28"/>
        <v xml:space="preserve">*Casing Profile not stock </v>
      </c>
      <c r="BQ14" s="152" t="str">
        <f t="shared" si="29"/>
        <v xml:space="preserve">*Casing width not stock </v>
      </c>
      <c r="BR14" s="152" t="str">
        <f t="shared" si="30"/>
        <v/>
      </c>
      <c r="BS14" s="152" t="str">
        <f t="shared" si="31"/>
        <v xml:space="preserve">*Stop/Mull Profile not stock </v>
      </c>
      <c r="BT14" s="152" t="str">
        <f t="shared" si="32"/>
        <v/>
      </c>
      <c r="BU14" s="152" t="str">
        <f t="shared" si="33"/>
        <v>*Not a stock color</v>
      </c>
      <c r="BV14" s="152" t="str">
        <f t="shared" si="34"/>
        <v/>
      </c>
      <c r="BW14" s="152" t="str">
        <f t="shared" si="35"/>
        <v/>
      </c>
      <c r="BX14" s="152" t="str">
        <f t="shared" si="36"/>
        <v/>
      </c>
      <c r="BY14" s="152" t="str">
        <f t="shared" si="37"/>
        <v/>
      </c>
      <c r="BZ14" s="152" t="str">
        <f t="shared" si="38"/>
        <v/>
      </c>
      <c r="CA14" s="152" t="str">
        <f t="shared" si="39"/>
        <v/>
      </c>
      <c r="CC14" s="155" t="str">
        <f t="shared" si="40"/>
        <v>- Invalid Line -</v>
      </c>
      <c r="CF14" s="156"/>
      <c r="CH14" s="340">
        <f t="shared" si="41"/>
        <v>0</v>
      </c>
      <c r="CI14" s="340">
        <f t="shared" si="48"/>
        <v>0</v>
      </c>
      <c r="CJ14" s="340">
        <f t="shared" si="42"/>
        <v>0</v>
      </c>
      <c r="CK14" s="340">
        <f t="shared" si="49"/>
        <v>0</v>
      </c>
      <c r="CL14" s="340">
        <f t="shared" si="50"/>
        <v>0</v>
      </c>
      <c r="CM14" s="340">
        <f t="shared" si="51"/>
        <v>0</v>
      </c>
      <c r="CN14" s="340">
        <f t="shared" si="52"/>
        <v>0</v>
      </c>
      <c r="CO14" s="340">
        <f t="shared" si="53"/>
        <v>0</v>
      </c>
      <c r="CP14" s="340">
        <f t="shared" si="54"/>
        <v>0</v>
      </c>
      <c r="CQ14" s="340" t="str">
        <f t="shared" si="55"/>
        <v/>
      </c>
    </row>
    <row r="15" spans="1:97" s="147" customFormat="1" ht="35.1" customHeight="1" x14ac:dyDescent="0.2">
      <c r="A15" s="157">
        <v>7</v>
      </c>
      <c r="B15" s="51"/>
      <c r="C15" s="51"/>
      <c r="D15" s="52" t="s">
        <v>82</v>
      </c>
      <c r="E15" s="46"/>
      <c r="F15" s="46"/>
      <c r="G15" s="53"/>
      <c r="H15" s="54"/>
      <c r="I15" s="47"/>
      <c r="J15" s="49"/>
      <c r="K15" s="48"/>
      <c r="L15" s="279" t="str">
        <f t="shared" si="57"/>
        <v/>
      </c>
      <c r="M15" s="47" t="str">
        <f t="shared" si="44"/>
        <v/>
      </c>
      <c r="N15" s="45"/>
      <c r="O15" s="142" t="str">
        <f t="shared" si="2"/>
        <v>- Invalid Line -</v>
      </c>
      <c r="P15" s="112"/>
      <c r="Q15" s="143">
        <f t="shared" si="3"/>
        <v>0</v>
      </c>
      <c r="R15" s="343"/>
      <c r="S15" s="343"/>
      <c r="T15" s="33"/>
      <c r="U15" s="33"/>
      <c r="V15" s="33"/>
      <c r="W15" s="33"/>
      <c r="X15" s="144">
        <f t="shared" si="4"/>
        <v>0</v>
      </c>
      <c r="Y15" s="112"/>
      <c r="Z15" s="341"/>
      <c r="AA15" s="337">
        <f t="shared" si="45"/>
        <v>0</v>
      </c>
      <c r="AB15" s="145"/>
      <c r="AC15" s="146"/>
      <c r="AH15" s="148" t="str">
        <f t="shared" si="5"/>
        <v/>
      </c>
      <c r="AI15" s="148" t="str">
        <f t="shared" si="6"/>
        <v/>
      </c>
      <c r="AK15" s="150"/>
      <c r="AL15" s="151">
        <f t="shared" si="7"/>
        <v>1</v>
      </c>
      <c r="AM15" s="152">
        <f t="shared" si="8"/>
        <v>0</v>
      </c>
      <c r="AN15" s="152">
        <f t="shared" si="9"/>
        <v>0</v>
      </c>
      <c r="AO15" s="151">
        <f t="shared" si="10"/>
        <v>0</v>
      </c>
      <c r="AP15" s="153">
        <f t="shared" si="11"/>
        <v>0</v>
      </c>
      <c r="AQ15" s="153">
        <f t="shared" si="12"/>
        <v>0</v>
      </c>
      <c r="AR15" s="152">
        <f t="shared" si="13"/>
        <v>40</v>
      </c>
      <c r="AS15" s="152">
        <f t="shared" si="14"/>
        <v>0</v>
      </c>
      <c r="AT15" s="152">
        <f t="shared" si="15"/>
        <v>70</v>
      </c>
      <c r="AU15" s="152">
        <f t="shared" si="16"/>
        <v>80</v>
      </c>
      <c r="AV15" s="152"/>
      <c r="AW15" s="152">
        <f t="shared" si="17"/>
        <v>100</v>
      </c>
      <c r="AX15" s="152">
        <f t="shared" si="18"/>
        <v>0</v>
      </c>
      <c r="AY15" s="152">
        <f t="shared" si="19"/>
        <v>121</v>
      </c>
      <c r="AZ15" s="152"/>
      <c r="BA15" s="148">
        <f t="shared" si="20"/>
        <v>0</v>
      </c>
      <c r="BB15" s="148"/>
      <c r="BC15" s="148">
        <f t="shared" si="21"/>
        <v>0</v>
      </c>
      <c r="BE15" s="152"/>
      <c r="BF15" s="152"/>
      <c r="BG15" s="152">
        <f t="shared" si="46"/>
        <v>411</v>
      </c>
      <c r="BH15" s="154"/>
      <c r="BI15" s="152" t="str">
        <f t="shared" si="47"/>
        <v/>
      </c>
      <c r="BJ15" s="152" t="str">
        <f t="shared" si="22"/>
        <v/>
      </c>
      <c r="BK15" s="152" t="str">
        <f t="shared" si="23"/>
        <v/>
      </c>
      <c r="BL15" s="152" t="str">
        <f t="shared" si="24"/>
        <v/>
      </c>
      <c r="BM15" s="152" t="str">
        <f t="shared" si="25"/>
        <v/>
      </c>
      <c r="BN15" s="152" t="str">
        <f t="shared" si="26"/>
        <v xml:space="preserve">*Jamb Species not stock </v>
      </c>
      <c r="BO15" s="152" t="str">
        <f t="shared" si="27"/>
        <v/>
      </c>
      <c r="BP15" s="152" t="str">
        <f t="shared" si="28"/>
        <v xml:space="preserve">*Casing Profile not stock </v>
      </c>
      <c r="BQ15" s="152" t="str">
        <f t="shared" si="29"/>
        <v xml:space="preserve">*Casing width not stock </v>
      </c>
      <c r="BR15" s="152" t="str">
        <f t="shared" si="30"/>
        <v/>
      </c>
      <c r="BS15" s="152" t="str">
        <f t="shared" si="31"/>
        <v xml:space="preserve">*Stop/Mull Profile not stock </v>
      </c>
      <c r="BT15" s="152" t="str">
        <f t="shared" si="32"/>
        <v/>
      </c>
      <c r="BU15" s="152" t="str">
        <f t="shared" si="33"/>
        <v>*Not a stock color</v>
      </c>
      <c r="BV15" s="152" t="str">
        <f t="shared" si="34"/>
        <v/>
      </c>
      <c r="BW15" s="152" t="str">
        <f t="shared" si="35"/>
        <v/>
      </c>
      <c r="BX15" s="152" t="str">
        <f t="shared" si="36"/>
        <v/>
      </c>
      <c r="BY15" s="152" t="str">
        <f t="shared" si="37"/>
        <v/>
      </c>
      <c r="BZ15" s="152" t="str">
        <f t="shared" si="38"/>
        <v/>
      </c>
      <c r="CA15" s="152" t="str">
        <f t="shared" si="39"/>
        <v/>
      </c>
      <c r="CC15" s="155" t="str">
        <f t="shared" si="40"/>
        <v>- Invalid Line -</v>
      </c>
      <c r="CF15" s="156"/>
      <c r="CH15" s="340">
        <f t="shared" si="41"/>
        <v>0</v>
      </c>
      <c r="CI15" s="340">
        <f t="shared" si="48"/>
        <v>0</v>
      </c>
      <c r="CJ15" s="340">
        <f t="shared" si="42"/>
        <v>0</v>
      </c>
      <c r="CK15" s="340">
        <f t="shared" si="49"/>
        <v>0</v>
      </c>
      <c r="CL15" s="340">
        <f t="shared" si="50"/>
        <v>0</v>
      </c>
      <c r="CM15" s="340">
        <f t="shared" si="51"/>
        <v>0</v>
      </c>
      <c r="CN15" s="340">
        <f t="shared" si="52"/>
        <v>0</v>
      </c>
      <c r="CO15" s="340">
        <f t="shared" si="53"/>
        <v>0</v>
      </c>
      <c r="CP15" s="340">
        <f t="shared" si="54"/>
        <v>0</v>
      </c>
      <c r="CQ15" s="340" t="str">
        <f t="shared" si="55"/>
        <v/>
      </c>
    </row>
    <row r="16" spans="1:97" s="147" customFormat="1" ht="35.1" customHeight="1" x14ac:dyDescent="0.2">
      <c r="A16" s="157">
        <v>8</v>
      </c>
      <c r="B16" s="51"/>
      <c r="C16" s="51"/>
      <c r="D16" s="52" t="s">
        <v>82</v>
      </c>
      <c r="E16" s="46"/>
      <c r="F16" s="46"/>
      <c r="G16" s="53"/>
      <c r="H16" s="54"/>
      <c r="I16" s="47"/>
      <c r="J16" s="49"/>
      <c r="K16" s="48"/>
      <c r="L16" s="279" t="str">
        <f t="shared" si="57"/>
        <v/>
      </c>
      <c r="M16" s="47" t="str">
        <f>IF(M15="","",+M15)</f>
        <v/>
      </c>
      <c r="N16" s="45"/>
      <c r="O16" s="142" t="str">
        <f t="shared" si="2"/>
        <v>- Invalid Line -</v>
      </c>
      <c r="P16" s="112"/>
      <c r="Q16" s="143">
        <f t="shared" si="3"/>
        <v>0</v>
      </c>
      <c r="R16" s="343"/>
      <c r="S16" s="343"/>
      <c r="T16" s="33"/>
      <c r="U16" s="33"/>
      <c r="V16" s="33"/>
      <c r="W16" s="33"/>
      <c r="X16" s="144">
        <f t="shared" si="4"/>
        <v>0</v>
      </c>
      <c r="Y16" s="112"/>
      <c r="Z16" s="341"/>
      <c r="AA16" s="337">
        <f t="shared" si="45"/>
        <v>0</v>
      </c>
      <c r="AB16" s="145"/>
      <c r="AC16" s="146"/>
      <c r="AH16" s="148" t="str">
        <f t="shared" si="5"/>
        <v/>
      </c>
      <c r="AI16" s="148" t="str">
        <f t="shared" si="6"/>
        <v/>
      </c>
      <c r="AK16" s="150"/>
      <c r="AL16" s="151">
        <f t="shared" si="7"/>
        <v>1</v>
      </c>
      <c r="AM16" s="152">
        <f t="shared" si="8"/>
        <v>0</v>
      </c>
      <c r="AN16" s="152">
        <f t="shared" si="9"/>
        <v>0</v>
      </c>
      <c r="AO16" s="151">
        <f t="shared" si="10"/>
        <v>0</v>
      </c>
      <c r="AP16" s="153">
        <f t="shared" si="11"/>
        <v>0</v>
      </c>
      <c r="AQ16" s="153">
        <f t="shared" si="12"/>
        <v>0</v>
      </c>
      <c r="AR16" s="152">
        <f t="shared" si="13"/>
        <v>40</v>
      </c>
      <c r="AS16" s="152">
        <f t="shared" si="14"/>
        <v>0</v>
      </c>
      <c r="AT16" s="152">
        <f t="shared" si="15"/>
        <v>70</v>
      </c>
      <c r="AU16" s="152">
        <f t="shared" si="16"/>
        <v>80</v>
      </c>
      <c r="AV16" s="152"/>
      <c r="AW16" s="152">
        <f t="shared" si="17"/>
        <v>100</v>
      </c>
      <c r="AX16" s="152">
        <f t="shared" si="18"/>
        <v>0</v>
      </c>
      <c r="AY16" s="152">
        <f t="shared" si="19"/>
        <v>121</v>
      </c>
      <c r="AZ16" s="152"/>
      <c r="BA16" s="148">
        <f t="shared" si="20"/>
        <v>0</v>
      </c>
      <c r="BB16" s="148"/>
      <c r="BC16" s="148">
        <f t="shared" si="21"/>
        <v>0</v>
      </c>
      <c r="BE16" s="152"/>
      <c r="BF16" s="152"/>
      <c r="BG16" s="152">
        <f t="shared" si="46"/>
        <v>411</v>
      </c>
      <c r="BH16" s="154"/>
      <c r="BI16" s="152" t="str">
        <f t="shared" si="47"/>
        <v/>
      </c>
      <c r="BJ16" s="152" t="str">
        <f t="shared" si="22"/>
        <v/>
      </c>
      <c r="BK16" s="152" t="str">
        <f t="shared" si="23"/>
        <v/>
      </c>
      <c r="BL16" s="152" t="str">
        <f t="shared" si="24"/>
        <v/>
      </c>
      <c r="BM16" s="152" t="str">
        <f t="shared" si="25"/>
        <v/>
      </c>
      <c r="BN16" s="152" t="str">
        <f t="shared" si="26"/>
        <v xml:space="preserve">*Jamb Species not stock </v>
      </c>
      <c r="BO16" s="152" t="str">
        <f t="shared" si="27"/>
        <v/>
      </c>
      <c r="BP16" s="152" t="str">
        <f t="shared" si="28"/>
        <v xml:space="preserve">*Casing Profile not stock </v>
      </c>
      <c r="BQ16" s="152" t="str">
        <f t="shared" si="29"/>
        <v xml:space="preserve">*Casing width not stock </v>
      </c>
      <c r="BR16" s="152" t="str">
        <f t="shared" si="30"/>
        <v/>
      </c>
      <c r="BS16" s="152" t="str">
        <f t="shared" si="31"/>
        <v xml:space="preserve">*Stop/Mull Profile not stock </v>
      </c>
      <c r="BT16" s="152" t="str">
        <f t="shared" si="32"/>
        <v/>
      </c>
      <c r="BU16" s="152" t="str">
        <f t="shared" si="33"/>
        <v>*Not a stock color</v>
      </c>
      <c r="BV16" s="152" t="str">
        <f t="shared" si="34"/>
        <v/>
      </c>
      <c r="BW16" s="152" t="str">
        <f t="shared" si="35"/>
        <v/>
      </c>
      <c r="BX16" s="152" t="str">
        <f t="shared" si="36"/>
        <v/>
      </c>
      <c r="BY16" s="152" t="str">
        <f t="shared" si="37"/>
        <v/>
      </c>
      <c r="BZ16" s="152" t="str">
        <f t="shared" si="38"/>
        <v/>
      </c>
      <c r="CA16" s="152" t="str">
        <f t="shared" si="39"/>
        <v/>
      </c>
      <c r="CC16" s="155" t="str">
        <f t="shared" si="40"/>
        <v>- Invalid Line -</v>
      </c>
      <c r="CF16" s="156"/>
      <c r="CH16" s="340">
        <f t="shared" si="41"/>
        <v>0</v>
      </c>
      <c r="CI16" s="340">
        <f t="shared" si="48"/>
        <v>0</v>
      </c>
      <c r="CJ16" s="340">
        <f t="shared" si="42"/>
        <v>0</v>
      </c>
      <c r="CK16" s="340">
        <f t="shared" si="49"/>
        <v>0</v>
      </c>
      <c r="CL16" s="340">
        <f t="shared" si="50"/>
        <v>0</v>
      </c>
      <c r="CM16" s="340">
        <f t="shared" si="51"/>
        <v>0</v>
      </c>
      <c r="CN16" s="340">
        <f t="shared" si="52"/>
        <v>0</v>
      </c>
      <c r="CO16" s="340">
        <f t="shared" si="53"/>
        <v>0</v>
      </c>
      <c r="CP16" s="340">
        <f t="shared" si="54"/>
        <v>0</v>
      </c>
      <c r="CQ16" s="340" t="str">
        <f t="shared" si="55"/>
        <v/>
      </c>
    </row>
    <row r="17" spans="1:95" s="147" customFormat="1" ht="35.1" customHeight="1" x14ac:dyDescent="0.2">
      <c r="A17" s="157">
        <v>9</v>
      </c>
      <c r="B17" s="51"/>
      <c r="C17" s="51"/>
      <c r="D17" s="52" t="s">
        <v>82</v>
      </c>
      <c r="E17" s="46"/>
      <c r="F17" s="46"/>
      <c r="G17" s="53"/>
      <c r="H17" s="54"/>
      <c r="I17" s="47"/>
      <c r="J17" s="49"/>
      <c r="K17" s="48"/>
      <c r="L17" s="279" t="str">
        <f t="shared" si="57"/>
        <v/>
      </c>
      <c r="M17" s="47" t="str">
        <f>IF(M16="","",+M16)</f>
        <v/>
      </c>
      <c r="N17" s="45"/>
      <c r="O17" s="142" t="str">
        <f t="shared" si="2"/>
        <v>- Invalid Line -</v>
      </c>
      <c r="P17" s="112"/>
      <c r="Q17" s="143">
        <f t="shared" si="3"/>
        <v>0</v>
      </c>
      <c r="R17" s="343"/>
      <c r="S17" s="343"/>
      <c r="T17" s="33"/>
      <c r="U17" s="33"/>
      <c r="V17" s="33"/>
      <c r="W17" s="33"/>
      <c r="X17" s="144">
        <f t="shared" si="4"/>
        <v>0</v>
      </c>
      <c r="Y17" s="112"/>
      <c r="Z17" s="341"/>
      <c r="AA17" s="337">
        <f t="shared" si="45"/>
        <v>0</v>
      </c>
      <c r="AB17" s="145"/>
      <c r="AC17" s="146"/>
      <c r="AH17" s="148" t="str">
        <f t="shared" si="5"/>
        <v/>
      </c>
      <c r="AI17" s="148" t="str">
        <f t="shared" si="6"/>
        <v/>
      </c>
      <c r="AK17" s="150"/>
      <c r="AL17" s="151">
        <f t="shared" si="7"/>
        <v>1</v>
      </c>
      <c r="AM17" s="152">
        <f t="shared" si="8"/>
        <v>0</v>
      </c>
      <c r="AN17" s="152">
        <f t="shared" si="9"/>
        <v>0</v>
      </c>
      <c r="AO17" s="151">
        <f t="shared" si="10"/>
        <v>0</v>
      </c>
      <c r="AP17" s="153">
        <f t="shared" si="11"/>
        <v>0</v>
      </c>
      <c r="AQ17" s="153">
        <f t="shared" si="12"/>
        <v>0</v>
      </c>
      <c r="AR17" s="152">
        <f t="shared" si="13"/>
        <v>40</v>
      </c>
      <c r="AS17" s="152">
        <f t="shared" si="14"/>
        <v>0</v>
      </c>
      <c r="AT17" s="152">
        <f t="shared" si="15"/>
        <v>70</v>
      </c>
      <c r="AU17" s="152">
        <f t="shared" si="16"/>
        <v>80</v>
      </c>
      <c r="AV17" s="152"/>
      <c r="AW17" s="152">
        <f t="shared" si="17"/>
        <v>100</v>
      </c>
      <c r="AX17" s="152">
        <f t="shared" si="18"/>
        <v>0</v>
      </c>
      <c r="AY17" s="152">
        <f t="shared" si="19"/>
        <v>121</v>
      </c>
      <c r="AZ17" s="152"/>
      <c r="BA17" s="148">
        <f t="shared" si="20"/>
        <v>0</v>
      </c>
      <c r="BB17" s="148"/>
      <c r="BC17" s="148">
        <f t="shared" si="21"/>
        <v>0</v>
      </c>
      <c r="BE17" s="152"/>
      <c r="BF17" s="152"/>
      <c r="BG17" s="152">
        <f t="shared" si="46"/>
        <v>411</v>
      </c>
      <c r="BH17" s="154"/>
      <c r="BI17" s="152" t="str">
        <f t="shared" si="47"/>
        <v/>
      </c>
      <c r="BJ17" s="152" t="str">
        <f t="shared" si="22"/>
        <v/>
      </c>
      <c r="BK17" s="152" t="str">
        <f t="shared" si="23"/>
        <v/>
      </c>
      <c r="BL17" s="152" t="str">
        <f t="shared" si="24"/>
        <v/>
      </c>
      <c r="BM17" s="152" t="str">
        <f t="shared" si="25"/>
        <v/>
      </c>
      <c r="BN17" s="152" t="str">
        <f t="shared" si="26"/>
        <v xml:space="preserve">*Jamb Species not stock </v>
      </c>
      <c r="BO17" s="152" t="str">
        <f t="shared" si="27"/>
        <v/>
      </c>
      <c r="BP17" s="152" t="str">
        <f t="shared" si="28"/>
        <v xml:space="preserve">*Casing Profile not stock </v>
      </c>
      <c r="BQ17" s="152" t="str">
        <f t="shared" si="29"/>
        <v xml:space="preserve">*Casing width not stock </v>
      </c>
      <c r="BR17" s="152" t="str">
        <f t="shared" si="30"/>
        <v/>
      </c>
      <c r="BS17" s="152" t="str">
        <f t="shared" si="31"/>
        <v xml:space="preserve">*Stop/Mull Profile not stock </v>
      </c>
      <c r="BT17" s="152" t="str">
        <f t="shared" si="32"/>
        <v/>
      </c>
      <c r="BU17" s="152" t="str">
        <f t="shared" si="33"/>
        <v>*Not a stock color</v>
      </c>
      <c r="BV17" s="152" t="str">
        <f t="shared" si="34"/>
        <v/>
      </c>
      <c r="BW17" s="152" t="str">
        <f t="shared" si="35"/>
        <v/>
      </c>
      <c r="BX17" s="152" t="str">
        <f t="shared" si="36"/>
        <v/>
      </c>
      <c r="BY17" s="152" t="str">
        <f t="shared" si="37"/>
        <v/>
      </c>
      <c r="BZ17" s="152" t="str">
        <f t="shared" si="38"/>
        <v/>
      </c>
      <c r="CA17" s="152" t="str">
        <f t="shared" si="39"/>
        <v/>
      </c>
      <c r="CC17" s="155" t="str">
        <f t="shared" si="40"/>
        <v>- Invalid Line -</v>
      </c>
      <c r="CF17" s="156"/>
      <c r="CH17" s="340">
        <f t="shared" si="41"/>
        <v>0</v>
      </c>
      <c r="CI17" s="340">
        <f t="shared" si="48"/>
        <v>0</v>
      </c>
      <c r="CJ17" s="340">
        <f t="shared" si="42"/>
        <v>0</v>
      </c>
      <c r="CK17" s="340">
        <f t="shared" si="49"/>
        <v>0</v>
      </c>
      <c r="CL17" s="340">
        <f t="shared" si="50"/>
        <v>0</v>
      </c>
      <c r="CM17" s="340">
        <f t="shared" si="51"/>
        <v>0</v>
      </c>
      <c r="CN17" s="340">
        <f t="shared" si="52"/>
        <v>0</v>
      </c>
      <c r="CO17" s="340">
        <f t="shared" si="53"/>
        <v>0</v>
      </c>
      <c r="CP17" s="340">
        <f t="shared" si="54"/>
        <v>0</v>
      </c>
      <c r="CQ17" s="340" t="str">
        <f t="shared" si="55"/>
        <v/>
      </c>
    </row>
    <row r="18" spans="1:95" s="147" customFormat="1" ht="35.1" customHeight="1" x14ac:dyDescent="0.2">
      <c r="A18" s="157">
        <v>10</v>
      </c>
      <c r="B18" s="51"/>
      <c r="C18" s="51"/>
      <c r="D18" s="52" t="s">
        <v>82</v>
      </c>
      <c r="E18" s="46"/>
      <c r="F18" s="46"/>
      <c r="G18" s="53"/>
      <c r="H18" s="54"/>
      <c r="I18" s="47"/>
      <c r="J18" s="49"/>
      <c r="K18" s="48"/>
      <c r="L18" s="279" t="str">
        <f t="shared" si="57"/>
        <v/>
      </c>
      <c r="M18" s="47" t="str">
        <f>IF(M17="","",+M17)</f>
        <v/>
      </c>
      <c r="N18" s="45"/>
      <c r="O18" s="142" t="str">
        <f t="shared" si="2"/>
        <v>- Invalid Line -</v>
      </c>
      <c r="P18" s="112"/>
      <c r="Q18" s="143">
        <f t="shared" si="3"/>
        <v>0</v>
      </c>
      <c r="R18" s="343"/>
      <c r="S18" s="343"/>
      <c r="T18" s="33"/>
      <c r="U18" s="33"/>
      <c r="V18" s="33"/>
      <c r="W18" s="33"/>
      <c r="X18" s="144">
        <f t="shared" si="4"/>
        <v>0</v>
      </c>
      <c r="Y18" s="112"/>
      <c r="Z18" s="341"/>
      <c r="AA18" s="337">
        <f t="shared" si="45"/>
        <v>0</v>
      </c>
      <c r="AB18" s="145"/>
      <c r="AC18" s="146"/>
      <c r="AH18" s="148" t="str">
        <f t="shared" si="5"/>
        <v/>
      </c>
      <c r="AI18" s="148" t="str">
        <f t="shared" si="6"/>
        <v/>
      </c>
      <c r="AK18" s="150"/>
      <c r="AL18" s="151">
        <f t="shared" si="7"/>
        <v>1</v>
      </c>
      <c r="AM18" s="152">
        <f t="shared" si="8"/>
        <v>0</v>
      </c>
      <c r="AN18" s="152">
        <f t="shared" si="9"/>
        <v>0</v>
      </c>
      <c r="AO18" s="151">
        <f t="shared" si="10"/>
        <v>0</v>
      </c>
      <c r="AP18" s="153">
        <f t="shared" si="11"/>
        <v>0</v>
      </c>
      <c r="AQ18" s="153">
        <f t="shared" si="12"/>
        <v>0</v>
      </c>
      <c r="AR18" s="152">
        <f t="shared" si="13"/>
        <v>40</v>
      </c>
      <c r="AS18" s="152">
        <f t="shared" si="14"/>
        <v>0</v>
      </c>
      <c r="AT18" s="152">
        <f t="shared" si="15"/>
        <v>70</v>
      </c>
      <c r="AU18" s="152">
        <f t="shared" si="16"/>
        <v>80</v>
      </c>
      <c r="AV18" s="152"/>
      <c r="AW18" s="152">
        <f t="shared" si="17"/>
        <v>100</v>
      </c>
      <c r="AX18" s="152">
        <f t="shared" si="18"/>
        <v>0</v>
      </c>
      <c r="AY18" s="152">
        <f t="shared" si="19"/>
        <v>121</v>
      </c>
      <c r="AZ18" s="152"/>
      <c r="BA18" s="148">
        <f t="shared" si="20"/>
        <v>0</v>
      </c>
      <c r="BB18" s="148"/>
      <c r="BC18" s="148">
        <f t="shared" si="21"/>
        <v>0</v>
      </c>
      <c r="BE18" s="152"/>
      <c r="BF18" s="152"/>
      <c r="BG18" s="152">
        <f t="shared" si="46"/>
        <v>411</v>
      </c>
      <c r="BH18" s="154"/>
      <c r="BI18" s="152" t="str">
        <f t="shared" si="47"/>
        <v/>
      </c>
      <c r="BJ18" s="152" t="str">
        <f t="shared" si="22"/>
        <v/>
      </c>
      <c r="BK18" s="152" t="str">
        <f t="shared" si="23"/>
        <v/>
      </c>
      <c r="BL18" s="152" t="str">
        <f t="shared" si="24"/>
        <v/>
      </c>
      <c r="BM18" s="152" t="str">
        <f t="shared" si="25"/>
        <v/>
      </c>
      <c r="BN18" s="152" t="str">
        <f t="shared" si="26"/>
        <v xml:space="preserve">*Jamb Species not stock </v>
      </c>
      <c r="BO18" s="152" t="str">
        <f t="shared" si="27"/>
        <v/>
      </c>
      <c r="BP18" s="152" t="str">
        <f t="shared" si="28"/>
        <v xml:space="preserve">*Casing Profile not stock </v>
      </c>
      <c r="BQ18" s="152" t="str">
        <f t="shared" si="29"/>
        <v xml:space="preserve">*Casing width not stock </v>
      </c>
      <c r="BR18" s="152" t="str">
        <f t="shared" si="30"/>
        <v/>
      </c>
      <c r="BS18" s="152" t="str">
        <f t="shared" si="31"/>
        <v xml:space="preserve">*Stop/Mull Profile not stock </v>
      </c>
      <c r="BT18" s="152" t="str">
        <f t="shared" si="32"/>
        <v/>
      </c>
      <c r="BU18" s="152" t="str">
        <f t="shared" si="33"/>
        <v>*Not a stock color</v>
      </c>
      <c r="BV18" s="152" t="str">
        <f t="shared" si="34"/>
        <v/>
      </c>
      <c r="BW18" s="152" t="str">
        <f t="shared" si="35"/>
        <v/>
      </c>
      <c r="BX18" s="152" t="str">
        <f t="shared" si="36"/>
        <v/>
      </c>
      <c r="BY18" s="152" t="str">
        <f t="shared" si="37"/>
        <v/>
      </c>
      <c r="BZ18" s="152" t="str">
        <f t="shared" si="38"/>
        <v/>
      </c>
      <c r="CA18" s="152" t="str">
        <f t="shared" si="39"/>
        <v/>
      </c>
      <c r="CC18" s="155" t="str">
        <f t="shared" si="40"/>
        <v>- Invalid Line -</v>
      </c>
      <c r="CF18" s="156"/>
      <c r="CH18" s="340">
        <f t="shared" si="41"/>
        <v>0</v>
      </c>
      <c r="CI18" s="340">
        <f t="shared" si="48"/>
        <v>0</v>
      </c>
      <c r="CJ18" s="340">
        <f t="shared" si="42"/>
        <v>0</v>
      </c>
      <c r="CK18" s="340">
        <f t="shared" si="49"/>
        <v>0</v>
      </c>
      <c r="CL18" s="340">
        <f t="shared" si="50"/>
        <v>0</v>
      </c>
      <c r="CM18" s="340">
        <f t="shared" si="51"/>
        <v>0</v>
      </c>
      <c r="CN18" s="340">
        <f t="shared" si="52"/>
        <v>0</v>
      </c>
      <c r="CO18" s="340">
        <f t="shared" si="53"/>
        <v>0</v>
      </c>
      <c r="CP18" s="340">
        <f t="shared" si="54"/>
        <v>0</v>
      </c>
      <c r="CQ18" s="340" t="str">
        <f t="shared" si="55"/>
        <v/>
      </c>
    </row>
    <row r="19" spans="1:95" s="147" customFormat="1" ht="35.1" customHeight="1" x14ac:dyDescent="0.2">
      <c r="A19" s="157">
        <v>11</v>
      </c>
      <c r="B19" s="51"/>
      <c r="C19" s="51"/>
      <c r="D19" s="52" t="s">
        <v>82</v>
      </c>
      <c r="E19" s="46"/>
      <c r="F19" s="46"/>
      <c r="G19" s="53"/>
      <c r="H19" s="54"/>
      <c r="I19" s="47"/>
      <c r="J19" s="49"/>
      <c r="K19" s="48"/>
      <c r="L19" s="279" t="str">
        <f t="shared" si="57"/>
        <v/>
      </c>
      <c r="M19" s="47" t="str">
        <f>IF(M18="","",+M18)</f>
        <v/>
      </c>
      <c r="N19" s="45"/>
      <c r="O19" s="142" t="str">
        <f t="shared" si="2"/>
        <v>- Invalid Line -</v>
      </c>
      <c r="P19" s="112"/>
      <c r="Q19" s="143">
        <f t="shared" si="3"/>
        <v>0</v>
      </c>
      <c r="R19" s="343"/>
      <c r="S19" s="343"/>
      <c r="T19" s="33"/>
      <c r="U19" s="33"/>
      <c r="V19" s="33"/>
      <c r="W19" s="33"/>
      <c r="X19" s="144">
        <f t="shared" si="4"/>
        <v>0</v>
      </c>
      <c r="Y19" s="112"/>
      <c r="Z19" s="341"/>
      <c r="AA19" s="337">
        <f t="shared" si="45"/>
        <v>0</v>
      </c>
      <c r="AB19" s="145"/>
      <c r="AC19" s="146"/>
      <c r="AH19" s="148" t="str">
        <f t="shared" si="5"/>
        <v/>
      </c>
      <c r="AI19" s="148" t="str">
        <f t="shared" si="6"/>
        <v/>
      </c>
      <c r="AK19" s="150"/>
      <c r="AL19" s="151">
        <f t="shared" si="7"/>
        <v>1</v>
      </c>
      <c r="AM19" s="152">
        <f t="shared" si="8"/>
        <v>0</v>
      </c>
      <c r="AN19" s="152">
        <f t="shared" si="9"/>
        <v>0</v>
      </c>
      <c r="AO19" s="151">
        <f t="shared" si="10"/>
        <v>0</v>
      </c>
      <c r="AP19" s="153">
        <f t="shared" si="11"/>
        <v>0</v>
      </c>
      <c r="AQ19" s="153">
        <f t="shared" si="12"/>
        <v>0</v>
      </c>
      <c r="AR19" s="152">
        <f t="shared" si="13"/>
        <v>40</v>
      </c>
      <c r="AS19" s="152">
        <f t="shared" si="14"/>
        <v>0</v>
      </c>
      <c r="AT19" s="152">
        <f t="shared" si="15"/>
        <v>70</v>
      </c>
      <c r="AU19" s="152">
        <f t="shared" si="16"/>
        <v>80</v>
      </c>
      <c r="AV19" s="152"/>
      <c r="AW19" s="152">
        <f t="shared" si="17"/>
        <v>100</v>
      </c>
      <c r="AX19" s="152">
        <f t="shared" si="18"/>
        <v>0</v>
      </c>
      <c r="AY19" s="152">
        <f t="shared" si="19"/>
        <v>121</v>
      </c>
      <c r="AZ19" s="152"/>
      <c r="BA19" s="148">
        <f t="shared" si="20"/>
        <v>0</v>
      </c>
      <c r="BB19" s="148"/>
      <c r="BC19" s="148">
        <f t="shared" si="21"/>
        <v>0</v>
      </c>
      <c r="BE19" s="152"/>
      <c r="BF19" s="152"/>
      <c r="BG19" s="152">
        <f t="shared" si="46"/>
        <v>411</v>
      </c>
      <c r="BH19" s="154"/>
      <c r="BI19" s="152" t="str">
        <f t="shared" si="47"/>
        <v/>
      </c>
      <c r="BJ19" s="152" t="str">
        <f t="shared" si="22"/>
        <v/>
      </c>
      <c r="BK19" s="152" t="str">
        <f t="shared" si="23"/>
        <v/>
      </c>
      <c r="BL19" s="152" t="str">
        <f t="shared" si="24"/>
        <v/>
      </c>
      <c r="BM19" s="152" t="str">
        <f t="shared" si="25"/>
        <v/>
      </c>
      <c r="BN19" s="152" t="str">
        <f t="shared" si="26"/>
        <v xml:space="preserve">*Jamb Species not stock </v>
      </c>
      <c r="BO19" s="152" t="str">
        <f t="shared" si="27"/>
        <v/>
      </c>
      <c r="BP19" s="152" t="str">
        <f t="shared" si="28"/>
        <v xml:space="preserve">*Casing Profile not stock </v>
      </c>
      <c r="BQ19" s="152" t="str">
        <f t="shared" si="29"/>
        <v xml:space="preserve">*Casing width not stock </v>
      </c>
      <c r="BR19" s="152" t="str">
        <f t="shared" si="30"/>
        <v/>
      </c>
      <c r="BS19" s="152" t="str">
        <f t="shared" si="31"/>
        <v xml:space="preserve">*Stop/Mull Profile not stock </v>
      </c>
      <c r="BT19" s="152" t="str">
        <f t="shared" si="32"/>
        <v/>
      </c>
      <c r="BU19" s="152" t="str">
        <f t="shared" si="33"/>
        <v>*Not a stock color</v>
      </c>
      <c r="BV19" s="152" t="str">
        <f t="shared" si="34"/>
        <v/>
      </c>
      <c r="BW19" s="152" t="str">
        <f t="shared" si="35"/>
        <v/>
      </c>
      <c r="BX19" s="152" t="str">
        <f t="shared" si="36"/>
        <v/>
      </c>
      <c r="BY19" s="152" t="str">
        <f t="shared" si="37"/>
        <v/>
      </c>
      <c r="BZ19" s="152" t="str">
        <f t="shared" si="38"/>
        <v/>
      </c>
      <c r="CA19" s="152" t="str">
        <f t="shared" si="39"/>
        <v/>
      </c>
      <c r="CC19" s="155" t="str">
        <f t="shared" si="40"/>
        <v>- Invalid Line -</v>
      </c>
      <c r="CF19" s="156"/>
      <c r="CH19" s="340">
        <f t="shared" si="41"/>
        <v>0</v>
      </c>
      <c r="CI19" s="340">
        <f t="shared" si="48"/>
        <v>0</v>
      </c>
      <c r="CJ19" s="340">
        <f t="shared" si="42"/>
        <v>0</v>
      </c>
      <c r="CK19" s="340">
        <f t="shared" si="49"/>
        <v>0</v>
      </c>
      <c r="CL19" s="340">
        <f t="shared" si="50"/>
        <v>0</v>
      </c>
      <c r="CM19" s="340">
        <f t="shared" si="51"/>
        <v>0</v>
      </c>
      <c r="CN19" s="340">
        <f t="shared" si="52"/>
        <v>0</v>
      </c>
      <c r="CO19" s="340">
        <f t="shared" si="53"/>
        <v>0</v>
      </c>
      <c r="CP19" s="340">
        <f t="shared" si="54"/>
        <v>0</v>
      </c>
      <c r="CQ19" s="340" t="str">
        <f t="shared" si="55"/>
        <v/>
      </c>
    </row>
    <row r="20" spans="1:95" s="147" customFormat="1" ht="18" customHeight="1" x14ac:dyDescent="0.2">
      <c r="A20" s="158"/>
      <c r="B20" s="322" t="s">
        <v>163</v>
      </c>
      <c r="C20" s="323" t="s">
        <v>164</v>
      </c>
      <c r="D20" s="322"/>
      <c r="E20" s="324"/>
      <c r="F20" s="324"/>
      <c r="G20" s="324" t="s">
        <v>2</v>
      </c>
      <c r="H20" s="324"/>
      <c r="I20" s="324"/>
      <c r="J20" s="325"/>
      <c r="K20" s="326" t="s">
        <v>165</v>
      </c>
      <c r="L20" s="327"/>
      <c r="M20" s="324" t="s">
        <v>145</v>
      </c>
      <c r="N20" s="328" t="s">
        <v>166</v>
      </c>
      <c r="O20" s="159"/>
      <c r="P20" s="160"/>
      <c r="Q20" s="161" t="s">
        <v>172</v>
      </c>
      <c r="R20" s="50"/>
      <c r="S20" s="50"/>
      <c r="T20" s="50"/>
      <c r="U20" s="50"/>
      <c r="V20" s="50"/>
      <c r="W20" s="50"/>
      <c r="X20" s="162"/>
      <c r="Y20" s="160"/>
      <c r="Z20" s="342"/>
      <c r="AA20" s="337">
        <f t="shared" si="45"/>
        <v>0</v>
      </c>
      <c r="AB20" s="145"/>
      <c r="AC20" s="146"/>
      <c r="AH20" s="148"/>
      <c r="AI20" s="148"/>
      <c r="AK20" s="150"/>
      <c r="AL20" s="163"/>
      <c r="AM20" s="164"/>
      <c r="AN20" s="164"/>
      <c r="AO20" s="163"/>
      <c r="AP20" s="165"/>
      <c r="AQ20" s="165"/>
      <c r="AR20" s="164"/>
      <c r="AS20" s="164"/>
      <c r="AT20" s="164"/>
      <c r="AU20" s="164"/>
      <c r="AV20" s="164"/>
      <c r="AW20" s="164"/>
      <c r="AX20" s="164"/>
      <c r="AY20" s="164"/>
      <c r="AZ20" s="164"/>
      <c r="BA20" s="166"/>
      <c r="BB20" s="166"/>
      <c r="BC20" s="166"/>
      <c r="BE20" s="164"/>
      <c r="BF20" s="164"/>
      <c r="BG20" s="164"/>
      <c r="BH20" s="167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7"/>
    </row>
    <row r="21" spans="1:95" s="147" customFormat="1" ht="35.1" customHeight="1" x14ac:dyDescent="0.2">
      <c r="A21" s="157">
        <v>1</v>
      </c>
      <c r="B21" s="314"/>
      <c r="C21" s="315"/>
      <c r="D21" s="316" t="s">
        <v>162</v>
      </c>
      <c r="E21" s="317"/>
      <c r="F21" s="317"/>
      <c r="G21" s="317"/>
      <c r="H21" s="317"/>
      <c r="I21" s="317"/>
      <c r="J21" s="318"/>
      <c r="K21" s="319"/>
      <c r="L21" s="320">
        <f t="shared" ref="L21" si="58">IF(K21="",0,IF(K21="006",1.25, IF(K21="007",2, IF(K21="009",0.75, IF(K21="011",1.25,IF(K21="001",0.75,0.755))))))</f>
        <v>0</v>
      </c>
      <c r="M21" s="317" t="str">
        <f>IF(M20="","",+M20)</f>
        <v>Color #</v>
      </c>
      <c r="N21" s="321"/>
      <c r="O21" s="142" t="str">
        <f>+BZ21</f>
        <v/>
      </c>
      <c r="P21" s="112"/>
      <c r="Q21" s="143">
        <f>+B21*C21/12</f>
        <v>0</v>
      </c>
      <c r="R21" s="33"/>
      <c r="S21" s="33"/>
      <c r="T21" s="33"/>
      <c r="U21" s="33"/>
      <c r="V21" s="33"/>
      <c r="W21" s="33"/>
      <c r="X21" s="144">
        <f>SUM(R21:W21)</f>
        <v>0</v>
      </c>
      <c r="Y21" s="112"/>
      <c r="Z21" s="341"/>
      <c r="AA21" s="337">
        <f t="shared" si="45"/>
        <v>0</v>
      </c>
      <c r="AB21" s="145"/>
      <c r="AC21" s="146"/>
      <c r="AH21" s="148" t="str">
        <f>IF(J21=2.25,"R ",IF(J21=2.5,"W ",IF(J21=3.25,"EW","")))</f>
        <v/>
      </c>
      <c r="AI21" s="148" t="str">
        <f>+CONCATENATE(I21,AH21)</f>
        <v/>
      </c>
      <c r="AK21" s="150"/>
      <c r="AL21" s="151">
        <f>IF(D21="P",1,"Error")</f>
        <v>1</v>
      </c>
      <c r="AM21" s="152"/>
      <c r="AN21" s="152"/>
      <c r="AO21" s="151"/>
      <c r="AP21" s="153"/>
      <c r="AQ21" s="153"/>
      <c r="AR21" s="152">
        <f>IF(G21="Oak",0,IF(G21="Maple",0,IF(G21="Poplar",0,40)))</f>
        <v>40</v>
      </c>
      <c r="AS21" s="152">
        <f>IF(B21&lt;&gt;0,IF(H21=0,0,IF(H21&lt;1,50, IF(H21&gt;6.5,51,0))),0)</f>
        <v>0</v>
      </c>
      <c r="AT21" s="152">
        <f>IF(I21=113,0,IF(I21=115,0,IF(I21=118,0,IF(I21="",0,70))))</f>
        <v>0</v>
      </c>
      <c r="AU21" s="152">
        <f>IF(I21=0,0,IF(J21=2.25,0,IF(J21=2.5,0,IF(J21=3.25,0,80))))</f>
        <v>0</v>
      </c>
      <c r="AV21" s="152"/>
      <c r="AW21" s="152">
        <f>IF(K21=0,0,IF(K21="006",0,IF(K21="007",0,IF(K21="009",0,IF(K21="011",0,IF(K21="001",0,100))))))</f>
        <v>0</v>
      </c>
      <c r="AX21" s="152"/>
      <c r="AY21" s="152">
        <f>IF(M21&gt;=1,IF(M21&lt;=23,0,IF(M21=30,0,121)),120)</f>
        <v>121</v>
      </c>
      <c r="AZ21" s="152"/>
      <c r="BA21" s="148">
        <f>IF(M21=4,IF(G21="Oak",150,0),0)</f>
        <v>0</v>
      </c>
      <c r="BB21" s="148"/>
      <c r="BC21" s="148"/>
      <c r="BE21" s="152"/>
      <c r="BF21" s="152"/>
      <c r="BG21" s="152">
        <f t="shared" si="46"/>
        <v>161</v>
      </c>
      <c r="BH21" s="154"/>
      <c r="BI21" s="152" t="str">
        <f t="shared" si="47"/>
        <v/>
      </c>
      <c r="BJ21" s="152" t="str">
        <f t="shared" si="22"/>
        <v/>
      </c>
      <c r="BK21" s="152" t="str">
        <f t="shared" si="23"/>
        <v/>
      </c>
      <c r="BL21" s="152" t="str">
        <f t="shared" si="24"/>
        <v/>
      </c>
      <c r="BM21" s="152" t="str">
        <f t="shared" si="25"/>
        <v/>
      </c>
      <c r="BN21" s="152" t="str">
        <f t="shared" si="26"/>
        <v xml:space="preserve">*Jamb Species not stock </v>
      </c>
      <c r="BO21" s="152" t="str">
        <f t="shared" si="27"/>
        <v/>
      </c>
      <c r="BP21" s="152" t="str">
        <f t="shared" si="28"/>
        <v/>
      </c>
      <c r="BQ21" s="152" t="str">
        <f t="shared" si="29"/>
        <v/>
      </c>
      <c r="BR21" s="152" t="str">
        <f t="shared" si="30"/>
        <v/>
      </c>
      <c r="BS21" s="152" t="str">
        <f t="shared" si="31"/>
        <v/>
      </c>
      <c r="BT21" s="152" t="str">
        <f t="shared" si="32"/>
        <v/>
      </c>
      <c r="BU21" s="152" t="str">
        <f t="shared" si="33"/>
        <v>*Not a stock color</v>
      </c>
      <c r="BV21" s="152" t="str">
        <f t="shared" ref="BV21:CA24" si="59">IF(AZ21=0,"",+AZ$4)</f>
        <v/>
      </c>
      <c r="BW21" s="152" t="str">
        <f t="shared" si="59"/>
        <v/>
      </c>
      <c r="BX21" s="152" t="str">
        <f t="shared" si="59"/>
        <v/>
      </c>
      <c r="BY21" s="152" t="str">
        <f t="shared" si="59"/>
        <v/>
      </c>
      <c r="BZ21" s="152" t="str">
        <f t="shared" si="59"/>
        <v/>
      </c>
      <c r="CA21" s="152" t="str">
        <f t="shared" si="59"/>
        <v/>
      </c>
      <c r="CC21" s="155" t="str">
        <f>IF(B21&lt;&gt;"",+CONCATENATE(BI21,BJ21,BK21,BL21,BM21,BN21,BO21,BP21,BQ21,BS21,BT21,BU21,BV21,BW21,BX21,BY21,BZ21,CA21),"- Invalid Line -")</f>
        <v>- Invalid Line -</v>
      </c>
      <c r="CF21" s="156"/>
      <c r="CH21" s="340"/>
      <c r="CI21" s="340">
        <f>+Q21</f>
        <v>0</v>
      </c>
      <c r="CJ21" s="340">
        <f>+E21+H21</f>
        <v>0</v>
      </c>
      <c r="CK21" s="340">
        <f t="shared" ref="CK21:CK24" si="60">IF(CP21&lt;&gt;0,+CI21*$CK$7,0)</f>
        <v>0</v>
      </c>
      <c r="CL21" s="340">
        <f>IF(CQ21&lt;&gt;0,+CI21*$CL$7,0)</f>
        <v>0</v>
      </c>
      <c r="CM21" s="340">
        <f t="shared" ref="CM21:CM24" si="61">+CI21*CJ21*$CM$7</f>
        <v>0</v>
      </c>
      <c r="CN21" s="340">
        <f t="shared" ref="CN21:CN24" si="62">SUM(CK21:CM21)</f>
        <v>0</v>
      </c>
      <c r="CO21" s="340"/>
      <c r="CP21" s="340">
        <f t="shared" ref="CP21:CP24" si="63">+J21</f>
        <v>0</v>
      </c>
      <c r="CQ21" s="340">
        <f t="shared" si="55"/>
        <v>0</v>
      </c>
    </row>
    <row r="22" spans="1:95" s="147" customFormat="1" ht="35.1" customHeight="1" x14ac:dyDescent="0.2">
      <c r="A22" s="157">
        <v>2</v>
      </c>
      <c r="B22" s="314"/>
      <c r="C22" s="315"/>
      <c r="D22" s="316" t="s">
        <v>162</v>
      </c>
      <c r="E22" s="317"/>
      <c r="F22" s="317"/>
      <c r="G22" s="317"/>
      <c r="H22" s="317"/>
      <c r="I22" s="317"/>
      <c r="J22" s="318"/>
      <c r="K22" s="319"/>
      <c r="L22" s="320">
        <f t="shared" ref="L22:L24" si="64">IF(K22="",0,IF(K22="006",1.25, IF(K22="007",2, IF(K22="009",0.75, IF(K22="011",1.25,IF(K22="001",0.75,0.755))))))</f>
        <v>0</v>
      </c>
      <c r="M22" s="317" t="str">
        <f>IF(M21="","",+M21)</f>
        <v>Color #</v>
      </c>
      <c r="N22" s="321"/>
      <c r="O22" s="142" t="str">
        <f>+BZ22</f>
        <v/>
      </c>
      <c r="P22" s="112"/>
      <c r="Q22" s="143">
        <f>+B22*C22/12</f>
        <v>0</v>
      </c>
      <c r="R22" s="33"/>
      <c r="S22" s="33"/>
      <c r="T22" s="33"/>
      <c r="U22" s="33"/>
      <c r="V22" s="33"/>
      <c r="W22" s="33"/>
      <c r="X22" s="144">
        <f>SUM(R22:W22)</f>
        <v>0</v>
      </c>
      <c r="Y22" s="112"/>
      <c r="Z22" s="341"/>
      <c r="AA22" s="337">
        <f t="shared" si="45"/>
        <v>0</v>
      </c>
      <c r="AB22" s="145"/>
      <c r="AC22" s="146"/>
      <c r="AH22" s="148" t="str">
        <f>IF(J22=2.25,"R ",IF(J22=2.5,"W ",IF(J22=3.25,"EW","")))</f>
        <v/>
      </c>
      <c r="AI22" s="148" t="str">
        <f>+CONCATENATE(I22,AH22)</f>
        <v/>
      </c>
      <c r="AK22" s="150"/>
      <c r="AL22" s="151">
        <f>IF(D22="P",1,"Error")</f>
        <v>1</v>
      </c>
      <c r="AM22" s="152"/>
      <c r="AN22" s="152"/>
      <c r="AO22" s="151"/>
      <c r="AP22" s="153"/>
      <c r="AQ22" s="153"/>
      <c r="AR22" s="152">
        <f>IF(G22="Oak",0,IF(G22="Maple",0,IF(G22="Poplar",0,40)))</f>
        <v>40</v>
      </c>
      <c r="AS22" s="152">
        <f>IF(B22&lt;&gt;0,IF(H22=0,0,IF(H22&lt;1,50, IF(H22&gt;6.5,51,0))),0)</f>
        <v>0</v>
      </c>
      <c r="AT22" s="152">
        <f>IF(I22=113,0,IF(I22=115,0,IF(I22=118,0,IF(I22="",0,70))))</f>
        <v>0</v>
      </c>
      <c r="AU22" s="152">
        <f>IF(I22=0,0,IF(J22=2.25,0,IF(J22=2.5,0,IF(J22=3.25,0,80))))</f>
        <v>0</v>
      </c>
      <c r="AV22" s="152"/>
      <c r="AW22" s="152">
        <f>IF(K22=0,0,IF(K22="006",0,IF(K22="007",0,IF(K22="009",0,IF(K22="011",0,IF(K22="001",0,100))))))</f>
        <v>0</v>
      </c>
      <c r="AX22" s="152"/>
      <c r="AY22" s="152">
        <f>IF(M22&gt;=1,IF(M22&lt;=23,0,IF(M22=30,0,121)),120)</f>
        <v>121</v>
      </c>
      <c r="AZ22" s="152"/>
      <c r="BA22" s="148">
        <f>IF(M22=4,IF(G22="Oak",150,0),0)</f>
        <v>0</v>
      </c>
      <c r="BB22" s="148"/>
      <c r="BC22" s="148"/>
      <c r="BE22" s="152"/>
      <c r="BF22" s="152"/>
      <c r="BG22" s="152">
        <f t="shared" si="46"/>
        <v>161</v>
      </c>
      <c r="BH22" s="154"/>
      <c r="BI22" s="152" t="str">
        <f t="shared" si="47"/>
        <v/>
      </c>
      <c r="BJ22" s="152" t="str">
        <f t="shared" si="22"/>
        <v/>
      </c>
      <c r="BK22" s="152" t="str">
        <f t="shared" si="23"/>
        <v/>
      </c>
      <c r="BL22" s="152" t="str">
        <f t="shared" si="24"/>
        <v/>
      </c>
      <c r="BM22" s="152" t="str">
        <f t="shared" si="25"/>
        <v/>
      </c>
      <c r="BN22" s="152" t="str">
        <f t="shared" si="26"/>
        <v xml:space="preserve">*Jamb Species not stock </v>
      </c>
      <c r="BO22" s="152" t="str">
        <f t="shared" si="27"/>
        <v/>
      </c>
      <c r="BP22" s="152" t="str">
        <f t="shared" si="28"/>
        <v/>
      </c>
      <c r="BQ22" s="152" t="str">
        <f t="shared" si="29"/>
        <v/>
      </c>
      <c r="BR22" s="152" t="str">
        <f t="shared" si="30"/>
        <v/>
      </c>
      <c r="BS22" s="152" t="str">
        <f t="shared" si="31"/>
        <v/>
      </c>
      <c r="BT22" s="152" t="str">
        <f t="shared" si="32"/>
        <v/>
      </c>
      <c r="BU22" s="152" t="str">
        <f t="shared" si="33"/>
        <v>*Not a stock color</v>
      </c>
      <c r="BV22" s="152" t="str">
        <f t="shared" si="59"/>
        <v/>
      </c>
      <c r="BW22" s="152" t="str">
        <f t="shared" si="59"/>
        <v/>
      </c>
      <c r="BX22" s="152" t="str">
        <f t="shared" si="59"/>
        <v/>
      </c>
      <c r="BY22" s="152" t="str">
        <f t="shared" si="59"/>
        <v/>
      </c>
      <c r="BZ22" s="152" t="str">
        <f t="shared" si="59"/>
        <v/>
      </c>
      <c r="CA22" s="152" t="str">
        <f t="shared" si="59"/>
        <v/>
      </c>
      <c r="CC22" s="155" t="str">
        <f>IF(B22&lt;&gt;"",+CONCATENATE(BI22,BJ22,BK22,BL22,BM22,BN22,BO22,BP22,BQ22,BS22,BT22,BU22,BV22,BW22,BX22,BY22,BZ22,CA22),"- Invalid Line -")</f>
        <v>- Invalid Line -</v>
      </c>
      <c r="CF22" s="156"/>
      <c r="CH22" s="340"/>
      <c r="CI22" s="340">
        <f>+Q22</f>
        <v>0</v>
      </c>
      <c r="CJ22" s="340">
        <f>+E22+H22</f>
        <v>0</v>
      </c>
      <c r="CK22" s="340">
        <f t="shared" si="60"/>
        <v>0</v>
      </c>
      <c r="CL22" s="340">
        <f>IF(CQ22&lt;&gt;0,+CI22*$CL$7,0)</f>
        <v>0</v>
      </c>
      <c r="CM22" s="340">
        <f t="shared" si="61"/>
        <v>0</v>
      </c>
      <c r="CN22" s="340">
        <f t="shared" si="62"/>
        <v>0</v>
      </c>
      <c r="CO22" s="340"/>
      <c r="CP22" s="340">
        <f t="shared" si="63"/>
        <v>0</v>
      </c>
      <c r="CQ22" s="340">
        <f t="shared" si="55"/>
        <v>0</v>
      </c>
    </row>
    <row r="23" spans="1:95" s="147" customFormat="1" ht="35.1" customHeight="1" x14ac:dyDescent="0.2">
      <c r="A23" s="157">
        <v>3</v>
      </c>
      <c r="B23" s="314"/>
      <c r="C23" s="315"/>
      <c r="D23" s="316" t="s">
        <v>162</v>
      </c>
      <c r="E23" s="317"/>
      <c r="F23" s="317"/>
      <c r="G23" s="317"/>
      <c r="H23" s="317"/>
      <c r="I23" s="317"/>
      <c r="J23" s="318"/>
      <c r="K23" s="319"/>
      <c r="L23" s="320">
        <f t="shared" si="64"/>
        <v>0</v>
      </c>
      <c r="M23" s="317" t="str">
        <f>IF(M22="","",+M22)</f>
        <v>Color #</v>
      </c>
      <c r="N23" s="321"/>
      <c r="O23" s="142" t="str">
        <f>+BZ23</f>
        <v/>
      </c>
      <c r="P23" s="112"/>
      <c r="Q23" s="143">
        <f>+B23*C23/12</f>
        <v>0</v>
      </c>
      <c r="R23" s="33"/>
      <c r="S23" s="33"/>
      <c r="T23" s="33"/>
      <c r="U23" s="33"/>
      <c r="V23" s="33"/>
      <c r="W23" s="33"/>
      <c r="X23" s="144">
        <f>SUM(R23:W23)</f>
        <v>0</v>
      </c>
      <c r="Y23" s="112"/>
      <c r="Z23" s="341"/>
      <c r="AA23" s="337">
        <f t="shared" si="45"/>
        <v>0</v>
      </c>
      <c r="AB23" s="145"/>
      <c r="AC23" s="146"/>
      <c r="AH23" s="148" t="str">
        <f>IF(J23=2.25,"R ",IF(J23=2.5,"W ",IF(J23=3.25,"EW","")))</f>
        <v/>
      </c>
      <c r="AI23" s="148" t="str">
        <f>+CONCATENATE(I23,AH23)</f>
        <v/>
      </c>
      <c r="AK23" s="150"/>
      <c r="AL23" s="151">
        <f>IF(D23="P",1,"Error")</f>
        <v>1</v>
      </c>
      <c r="AM23" s="152"/>
      <c r="AN23" s="152"/>
      <c r="AO23" s="151"/>
      <c r="AP23" s="153"/>
      <c r="AQ23" s="153"/>
      <c r="AR23" s="152">
        <f>IF(G23="Oak",0,IF(G23="Maple",0,IF(G23="Poplar",0,40)))</f>
        <v>40</v>
      </c>
      <c r="AS23" s="152">
        <f>IF(B23&lt;&gt;0,IF(H23=0,0,IF(H23&lt;1,50, IF(H23&gt;6.5,51,0))),0)</f>
        <v>0</v>
      </c>
      <c r="AT23" s="152">
        <f>IF(I23=113,0,IF(I23=115,0,IF(I23=118,0,IF(I23="",0,70))))</f>
        <v>0</v>
      </c>
      <c r="AU23" s="152">
        <f>IF(I23=0,0,IF(J23=2.25,0,IF(J23=2.5,0,IF(J23=3.25,0,80))))</f>
        <v>0</v>
      </c>
      <c r="AV23" s="152"/>
      <c r="AW23" s="152">
        <f>IF(K23=0,0,IF(K23="006",0,IF(K23="007",0,IF(K23="009",0,IF(K23="011",0,IF(K23="001",0,100))))))</f>
        <v>0</v>
      </c>
      <c r="AX23" s="152"/>
      <c r="AY23" s="152">
        <f>IF(M23&gt;=1,IF(M23&lt;=23,0,IF(M23=30,0,121)),120)</f>
        <v>121</v>
      </c>
      <c r="AZ23" s="152"/>
      <c r="BA23" s="148">
        <f>IF(M23=4,IF(G23="Oak",150,0),0)</f>
        <v>0</v>
      </c>
      <c r="BB23" s="148"/>
      <c r="BC23" s="148"/>
      <c r="BE23" s="152"/>
      <c r="BF23" s="152"/>
      <c r="BG23" s="152">
        <f t="shared" si="46"/>
        <v>161</v>
      </c>
      <c r="BH23" s="154"/>
      <c r="BI23" s="152" t="str">
        <f t="shared" si="47"/>
        <v/>
      </c>
      <c r="BJ23" s="152" t="str">
        <f t="shared" si="22"/>
        <v/>
      </c>
      <c r="BK23" s="152" t="str">
        <f t="shared" si="23"/>
        <v/>
      </c>
      <c r="BL23" s="152" t="str">
        <f t="shared" si="24"/>
        <v/>
      </c>
      <c r="BM23" s="152" t="str">
        <f t="shared" si="25"/>
        <v/>
      </c>
      <c r="BN23" s="152" t="str">
        <f t="shared" si="26"/>
        <v xml:space="preserve">*Jamb Species not stock </v>
      </c>
      <c r="BO23" s="152" t="str">
        <f t="shared" si="27"/>
        <v/>
      </c>
      <c r="BP23" s="152" t="str">
        <f t="shared" si="28"/>
        <v/>
      </c>
      <c r="BQ23" s="152" t="str">
        <f t="shared" si="29"/>
        <v/>
      </c>
      <c r="BR23" s="152" t="str">
        <f t="shared" si="30"/>
        <v/>
      </c>
      <c r="BS23" s="152" t="str">
        <f t="shared" si="31"/>
        <v/>
      </c>
      <c r="BT23" s="152" t="str">
        <f t="shared" si="32"/>
        <v/>
      </c>
      <c r="BU23" s="152" t="str">
        <f t="shared" si="33"/>
        <v>*Not a stock color</v>
      </c>
      <c r="BV23" s="152" t="str">
        <f t="shared" si="59"/>
        <v/>
      </c>
      <c r="BW23" s="152" t="str">
        <f t="shared" si="59"/>
        <v/>
      </c>
      <c r="BX23" s="152" t="str">
        <f t="shared" si="59"/>
        <v/>
      </c>
      <c r="BY23" s="152" t="str">
        <f t="shared" si="59"/>
        <v/>
      </c>
      <c r="BZ23" s="152" t="str">
        <f t="shared" si="59"/>
        <v/>
      </c>
      <c r="CA23" s="152" t="str">
        <f t="shared" si="59"/>
        <v/>
      </c>
      <c r="CC23" s="155" t="str">
        <f>IF(B23&lt;&gt;"",+CONCATENATE(BI23,BJ23,BK23,BL23,BM23,BN23,BO23,BP23,BQ23,BS23,BT23,BU23,BV23,BW23,BX23,BY23,BZ23,CA23),"- Invalid Line -")</f>
        <v>- Invalid Line -</v>
      </c>
      <c r="CF23" s="156"/>
      <c r="CH23" s="340"/>
      <c r="CI23" s="340">
        <f>+Q23</f>
        <v>0</v>
      </c>
      <c r="CJ23" s="340">
        <f>+E23+H23</f>
        <v>0</v>
      </c>
      <c r="CK23" s="340">
        <f t="shared" si="60"/>
        <v>0</v>
      </c>
      <c r="CL23" s="340">
        <f>IF(CQ23&lt;&gt;0,+CI23*$CL$7,0)</f>
        <v>0</v>
      </c>
      <c r="CM23" s="340">
        <f t="shared" si="61"/>
        <v>0</v>
      </c>
      <c r="CN23" s="340">
        <f t="shared" si="62"/>
        <v>0</v>
      </c>
      <c r="CO23" s="340"/>
      <c r="CP23" s="340">
        <f t="shared" si="63"/>
        <v>0</v>
      </c>
      <c r="CQ23" s="340">
        <f t="shared" si="55"/>
        <v>0</v>
      </c>
    </row>
    <row r="24" spans="1:95" s="147" customFormat="1" ht="35.1" customHeight="1" x14ac:dyDescent="0.2">
      <c r="A24" s="157">
        <v>4</v>
      </c>
      <c r="B24" s="314"/>
      <c r="C24" s="315"/>
      <c r="D24" s="316" t="s">
        <v>162</v>
      </c>
      <c r="E24" s="317"/>
      <c r="F24" s="317"/>
      <c r="G24" s="317"/>
      <c r="H24" s="317"/>
      <c r="I24" s="317"/>
      <c r="J24" s="318"/>
      <c r="K24" s="319"/>
      <c r="L24" s="320">
        <f t="shared" si="64"/>
        <v>0</v>
      </c>
      <c r="M24" s="317" t="str">
        <f>IF(M23="","",+M23)</f>
        <v>Color #</v>
      </c>
      <c r="N24" s="321"/>
      <c r="O24" s="142" t="str">
        <f>+BZ24</f>
        <v/>
      </c>
      <c r="P24" s="112"/>
      <c r="Q24" s="143">
        <f>+B24*C24/12</f>
        <v>0</v>
      </c>
      <c r="R24" s="33"/>
      <c r="S24" s="33"/>
      <c r="T24" s="33"/>
      <c r="U24" s="33"/>
      <c r="V24" s="33"/>
      <c r="W24" s="33"/>
      <c r="X24" s="144">
        <f>SUM(R24:W24)</f>
        <v>0</v>
      </c>
      <c r="Y24" s="112"/>
      <c r="Z24" s="341"/>
      <c r="AA24" s="337">
        <f t="shared" si="45"/>
        <v>0</v>
      </c>
      <c r="AB24" s="145"/>
      <c r="AC24" s="146"/>
      <c r="AH24" s="148" t="str">
        <f>IF(J24=2.25,"R ",IF(J24=2.5,"W ",IF(J24=3.25,"EW","")))</f>
        <v/>
      </c>
      <c r="AI24" s="148" t="str">
        <f>+CONCATENATE(I24,AH24)</f>
        <v/>
      </c>
      <c r="AK24" s="150"/>
      <c r="AL24" s="151">
        <f>IF(D24="P",1,"Error")</f>
        <v>1</v>
      </c>
      <c r="AM24" s="152"/>
      <c r="AN24" s="152"/>
      <c r="AO24" s="151"/>
      <c r="AP24" s="153"/>
      <c r="AQ24" s="153"/>
      <c r="AR24" s="152">
        <f>IF(G24="Oak",0,IF(G24="Maple",0,IF(G24="Poplar",0,40)))</f>
        <v>40</v>
      </c>
      <c r="AS24" s="152">
        <f>IF(B24&lt;&gt;0,IF(H24=0,0,IF(H24&lt;1,50, IF(H24&gt;6.5,51,0))),0)</f>
        <v>0</v>
      </c>
      <c r="AT24" s="152">
        <f>IF(I24=113,0,IF(I24=115,0,IF(I24=118,0,IF(I24="",0,70))))</f>
        <v>0</v>
      </c>
      <c r="AU24" s="152">
        <f>IF(I24=0,0,IF(J24=2.25,0,IF(J24=2.5,0,IF(J24=3.25,0,80))))</f>
        <v>0</v>
      </c>
      <c r="AV24" s="152"/>
      <c r="AW24" s="152">
        <f>IF(K24=0,0,IF(K24="006",0,IF(K24="007",0,IF(K24="009",0,IF(K24="011",0,IF(K24="001",0,100))))))</f>
        <v>0</v>
      </c>
      <c r="AX24" s="152"/>
      <c r="AY24" s="152">
        <f>IF(M24&gt;=1,IF(M24&lt;=23,0,IF(M24=30,0,121)),120)</f>
        <v>121</v>
      </c>
      <c r="AZ24" s="152"/>
      <c r="BA24" s="148">
        <f>IF(M24=4,IF(G24="Oak",150,0),0)</f>
        <v>0</v>
      </c>
      <c r="BB24" s="148"/>
      <c r="BC24" s="148"/>
      <c r="BE24" s="152"/>
      <c r="BF24" s="152"/>
      <c r="BG24" s="152">
        <f t="shared" si="46"/>
        <v>161</v>
      </c>
      <c r="BH24" s="154"/>
      <c r="BI24" s="152" t="str">
        <f t="shared" si="47"/>
        <v/>
      </c>
      <c r="BJ24" s="152" t="str">
        <f t="shared" si="22"/>
        <v/>
      </c>
      <c r="BK24" s="152" t="str">
        <f t="shared" si="23"/>
        <v/>
      </c>
      <c r="BL24" s="152" t="str">
        <f t="shared" si="24"/>
        <v/>
      </c>
      <c r="BM24" s="152" t="str">
        <f t="shared" si="25"/>
        <v/>
      </c>
      <c r="BN24" s="152" t="str">
        <f t="shared" si="26"/>
        <v xml:space="preserve">*Jamb Species not stock </v>
      </c>
      <c r="BO24" s="152" t="str">
        <f t="shared" si="27"/>
        <v/>
      </c>
      <c r="BP24" s="152" t="str">
        <f t="shared" si="28"/>
        <v/>
      </c>
      <c r="BQ24" s="152" t="str">
        <f t="shared" si="29"/>
        <v/>
      </c>
      <c r="BR24" s="152" t="str">
        <f t="shared" si="30"/>
        <v/>
      </c>
      <c r="BS24" s="152" t="str">
        <f t="shared" si="31"/>
        <v/>
      </c>
      <c r="BT24" s="152" t="str">
        <f t="shared" si="32"/>
        <v/>
      </c>
      <c r="BU24" s="152" t="str">
        <f t="shared" si="33"/>
        <v>*Not a stock color</v>
      </c>
      <c r="BV24" s="152" t="str">
        <f t="shared" si="59"/>
        <v/>
      </c>
      <c r="BW24" s="152" t="str">
        <f t="shared" si="59"/>
        <v/>
      </c>
      <c r="BX24" s="152" t="str">
        <f t="shared" si="59"/>
        <v/>
      </c>
      <c r="BY24" s="152" t="str">
        <f t="shared" si="59"/>
        <v/>
      </c>
      <c r="BZ24" s="152" t="str">
        <f t="shared" si="59"/>
        <v/>
      </c>
      <c r="CA24" s="152" t="str">
        <f t="shared" si="59"/>
        <v/>
      </c>
      <c r="CC24" s="155" t="str">
        <f>IF(B24&lt;&gt;"",+CONCATENATE(BI24,BJ24,BK24,BL24,BM24,BN24,BO24,BP24,BQ24,BS24,BT24,BU24,BV24,BW24,BX24,BY24,BZ24,CA24),"- Invalid Line -")</f>
        <v>- Invalid Line -</v>
      </c>
      <c r="CF24" s="156"/>
      <c r="CH24" s="340"/>
      <c r="CI24" s="340">
        <f>+Q24</f>
        <v>0</v>
      </c>
      <c r="CJ24" s="340">
        <f>+E24+H24</f>
        <v>0</v>
      </c>
      <c r="CK24" s="340">
        <f t="shared" si="60"/>
        <v>0</v>
      </c>
      <c r="CL24" s="340">
        <f>IF(CQ24&lt;&gt;0,+CI24*$CL$7,0)</f>
        <v>0</v>
      </c>
      <c r="CM24" s="340">
        <f t="shared" si="61"/>
        <v>0</v>
      </c>
      <c r="CN24" s="340">
        <f t="shared" si="62"/>
        <v>0</v>
      </c>
      <c r="CO24" s="340"/>
      <c r="CP24" s="340">
        <f t="shared" si="63"/>
        <v>0</v>
      </c>
      <c r="CQ24" s="340">
        <f t="shared" si="55"/>
        <v>0</v>
      </c>
    </row>
    <row r="25" spans="1:95" s="61" customFormat="1" ht="3" customHeight="1" x14ac:dyDescent="0.2">
      <c r="A25" s="69"/>
      <c r="B25" s="168"/>
      <c r="C25" s="168"/>
      <c r="D25" s="168"/>
      <c r="E25" s="169"/>
      <c r="F25" s="169"/>
      <c r="G25" s="71"/>
      <c r="H25" s="170"/>
      <c r="I25" s="71"/>
      <c r="J25" s="71"/>
      <c r="K25" s="71" t="s">
        <v>115</v>
      </c>
      <c r="L25" s="71"/>
      <c r="M25" s="71"/>
      <c r="N25" s="71"/>
      <c r="O25" s="71"/>
      <c r="P25" s="60"/>
      <c r="Q25" s="171"/>
      <c r="R25" s="62"/>
      <c r="S25" s="62"/>
      <c r="T25" s="62"/>
      <c r="U25" s="62"/>
      <c r="V25" s="62"/>
      <c r="W25" s="62"/>
      <c r="X25" s="62"/>
      <c r="Y25" s="60"/>
      <c r="Z25" s="59"/>
      <c r="AA25" s="62"/>
      <c r="AB25" s="172"/>
      <c r="AC25" s="64"/>
      <c r="AH25" s="59"/>
      <c r="AI25" s="59"/>
      <c r="AK25" s="65"/>
      <c r="AP25" s="173"/>
      <c r="AQ25" s="173"/>
      <c r="BH25" s="140"/>
      <c r="BL25" s="173"/>
      <c r="BM25" s="173"/>
      <c r="CC25" s="155" t="str">
        <f>+CONCATENATE(BI25,BJ25,BK25,BL25,BM25,BN25,BO25,BP25,BQ25,BS25,BT25,BU25,BV25,BW25,BX25,BY25,BZ25,CA25)</f>
        <v/>
      </c>
      <c r="CD25" s="147"/>
      <c r="CE25" s="147"/>
      <c r="CF25" s="156"/>
      <c r="CG25" s="147"/>
    </row>
    <row r="26" spans="1:95" s="61" customFormat="1" ht="24.95" customHeight="1" x14ac:dyDescent="0.2">
      <c r="A26" s="69"/>
      <c r="B26" s="168"/>
      <c r="C26" s="168"/>
      <c r="D26" s="69"/>
      <c r="E26" s="168" t="s">
        <v>156</v>
      </c>
      <c r="F26" s="168"/>
      <c r="G26" s="71"/>
      <c r="H26" s="71"/>
      <c r="I26" s="71"/>
      <c r="J26" s="71"/>
      <c r="K26" s="281" t="s">
        <v>187</v>
      </c>
      <c r="L26" s="71"/>
      <c r="M26" s="350"/>
      <c r="N26" s="71"/>
      <c r="O26" s="71"/>
      <c r="P26" s="60"/>
      <c r="Q26" s="174">
        <f>SUM(Q9:Q25)</f>
        <v>0</v>
      </c>
      <c r="R26" s="175">
        <f>SUM(R9:R25)</f>
        <v>0</v>
      </c>
      <c r="S26" s="175">
        <f t="shared" ref="S26:W26" si="65">SUM(S9:S25)</f>
        <v>0</v>
      </c>
      <c r="T26" s="175">
        <f t="shared" si="65"/>
        <v>0</v>
      </c>
      <c r="U26" s="175">
        <f t="shared" ref="U26" si="66">SUM(U9:U25)</f>
        <v>0</v>
      </c>
      <c r="V26" s="175">
        <f t="shared" si="65"/>
        <v>0</v>
      </c>
      <c r="W26" s="175">
        <f t="shared" si="65"/>
        <v>0</v>
      </c>
      <c r="X26" s="175">
        <f>SUM(X9:X25)</f>
        <v>0</v>
      </c>
      <c r="Y26" s="60"/>
      <c r="Z26" s="59"/>
      <c r="AA26" s="338">
        <f>SUM(AA9:AA25)</f>
        <v>0</v>
      </c>
      <c r="AB26" s="172"/>
      <c r="AC26" s="64"/>
      <c r="AH26" s="59"/>
      <c r="AI26" s="59"/>
      <c r="AK26" s="65"/>
      <c r="AP26" s="173"/>
      <c r="AQ26" s="173"/>
      <c r="BH26" s="140"/>
      <c r="BL26" s="173"/>
      <c r="BM26" s="173"/>
    </row>
    <row r="27" spans="1:95" s="61" customFormat="1" ht="15" customHeight="1" thickBot="1" x14ac:dyDescent="0.25">
      <c r="A27" s="290" t="s">
        <v>196</v>
      </c>
      <c r="I27" s="176"/>
      <c r="J27" s="71"/>
      <c r="K27" s="71"/>
      <c r="L27" s="87" t="s">
        <v>10</v>
      </c>
      <c r="M27" s="87"/>
      <c r="N27" s="69"/>
      <c r="O27" s="71"/>
      <c r="P27" s="60"/>
      <c r="Q27" s="171"/>
      <c r="R27" s="177"/>
      <c r="S27" s="177"/>
      <c r="T27" s="177"/>
      <c r="U27" s="177"/>
      <c r="V27" s="177"/>
      <c r="W27" s="177"/>
      <c r="X27" s="177"/>
      <c r="Y27" s="60"/>
      <c r="Z27" s="59"/>
      <c r="AA27" s="177"/>
      <c r="AB27" s="172"/>
      <c r="AC27" s="64"/>
      <c r="AH27" s="59"/>
      <c r="AI27" s="59"/>
      <c r="AK27" s="65"/>
      <c r="AP27" s="173"/>
      <c r="AQ27" s="173"/>
      <c r="BH27" s="140"/>
      <c r="BL27" s="173"/>
      <c r="BM27" s="173"/>
    </row>
    <row r="28" spans="1:95" s="61" customFormat="1" ht="24.95" customHeight="1" thickBot="1" x14ac:dyDescent="0.25">
      <c r="A28" s="289" t="s">
        <v>197</v>
      </c>
      <c r="B28" s="71"/>
      <c r="D28" s="168"/>
      <c r="E28" s="168"/>
      <c r="F28" s="286" t="s">
        <v>193</v>
      </c>
      <c r="H28" s="286"/>
      <c r="J28" s="71"/>
      <c r="K28" s="71"/>
      <c r="L28" s="44"/>
      <c r="M28" s="284"/>
      <c r="N28" s="285"/>
      <c r="O28" s="71"/>
      <c r="P28" s="60"/>
      <c r="Q28" s="267" t="s">
        <v>174</v>
      </c>
      <c r="R28" s="268"/>
      <c r="S28" s="268"/>
      <c r="T28" s="268"/>
      <c r="U28" s="268"/>
      <c r="V28" s="268"/>
      <c r="W28" s="268"/>
      <c r="X28" s="1"/>
      <c r="Y28" s="60"/>
      <c r="Z28" s="59"/>
      <c r="AA28" s="268"/>
      <c r="AB28" s="269"/>
      <c r="AC28" s="64"/>
      <c r="AH28" s="59"/>
      <c r="AI28" s="59"/>
      <c r="AK28" s="65"/>
      <c r="AP28" s="178"/>
      <c r="AQ28" s="178"/>
      <c r="BH28" s="140"/>
      <c r="BL28" s="178"/>
      <c r="BM28" s="178"/>
    </row>
    <row r="29" spans="1:95" s="61" customFormat="1" ht="24.95" customHeight="1" thickBot="1" x14ac:dyDescent="0.25">
      <c r="A29" s="299" t="s">
        <v>199</v>
      </c>
      <c r="B29" s="291"/>
      <c r="C29" s="295"/>
      <c r="D29" s="292"/>
      <c r="E29" s="292"/>
      <c r="F29" s="292" t="s">
        <v>195</v>
      </c>
      <c r="G29" s="295"/>
      <c r="H29" s="292" t="s">
        <v>194</v>
      </c>
      <c r="J29" s="71"/>
      <c r="K29" s="71"/>
      <c r="L29" s="44"/>
      <c r="M29" s="284"/>
      <c r="N29" s="285"/>
      <c r="O29" s="71"/>
      <c r="P29" s="60"/>
      <c r="Q29" s="2" t="s">
        <v>180</v>
      </c>
      <c r="R29" s="268"/>
      <c r="S29" s="268"/>
      <c r="T29" s="268"/>
      <c r="U29" s="268"/>
      <c r="V29" s="268"/>
      <c r="W29" s="268"/>
      <c r="X29" s="268"/>
      <c r="Y29" s="60"/>
      <c r="Z29" s="59"/>
      <c r="AB29" s="269"/>
      <c r="AC29" s="64"/>
      <c r="AH29" s="59"/>
      <c r="AI29" s="59"/>
      <c r="AK29" s="65"/>
      <c r="AP29" s="179"/>
      <c r="AQ29" s="179"/>
      <c r="BH29" s="140"/>
      <c r="BL29" s="179"/>
      <c r="BM29" s="179"/>
    </row>
    <row r="30" spans="1:95" s="61" customFormat="1" ht="24.95" customHeight="1" thickBot="1" x14ac:dyDescent="0.25">
      <c r="A30" s="300" t="s">
        <v>200</v>
      </c>
      <c r="B30" s="293"/>
      <c r="C30" s="296"/>
      <c r="D30" s="294"/>
      <c r="E30" s="296"/>
      <c r="F30" s="297" t="s">
        <v>198</v>
      </c>
      <c r="G30" s="297"/>
      <c r="H30" s="297" t="s">
        <v>198</v>
      </c>
      <c r="I30" s="287"/>
      <c r="J30" s="71"/>
      <c r="K30" s="71"/>
      <c r="L30" s="44"/>
      <c r="M30" s="284"/>
      <c r="N30" s="285"/>
      <c r="O30" s="71"/>
      <c r="P30" s="60"/>
      <c r="Q30" s="271" t="s">
        <v>176</v>
      </c>
      <c r="R30" s="2"/>
      <c r="S30" s="2"/>
      <c r="T30" s="2"/>
      <c r="U30" s="2"/>
      <c r="V30" s="2"/>
      <c r="W30" s="270" t="s">
        <v>175</v>
      </c>
      <c r="X30" s="268"/>
      <c r="Y30" s="60"/>
      <c r="Z30" s="59"/>
      <c r="AB30" s="269"/>
      <c r="AC30" s="64"/>
      <c r="AH30" s="59"/>
      <c r="AI30" s="59"/>
      <c r="AK30" s="65"/>
      <c r="AP30" s="181"/>
      <c r="AQ30" s="181"/>
      <c r="BH30" s="140"/>
      <c r="BL30" s="181"/>
      <c r="BM30" s="181"/>
    </row>
    <row r="31" spans="1:95" s="61" customFormat="1" ht="24.95" customHeight="1" thickBot="1" x14ac:dyDescent="0.25">
      <c r="A31" s="301" t="s">
        <v>201</v>
      </c>
      <c r="B31" s="293"/>
      <c r="C31" s="294"/>
      <c r="D31" s="294"/>
      <c r="E31" s="298"/>
      <c r="F31" s="297" t="s">
        <v>198</v>
      </c>
      <c r="G31" s="297"/>
      <c r="H31" s="297" t="s">
        <v>198</v>
      </c>
      <c r="I31" s="287"/>
      <c r="J31" s="71"/>
      <c r="K31" s="71"/>
      <c r="L31" s="44"/>
      <c r="M31" s="284"/>
      <c r="N31" s="285"/>
      <c r="O31" s="71"/>
      <c r="P31" s="60"/>
      <c r="Q31" s="271" t="s">
        <v>177</v>
      </c>
      <c r="R31" s="271"/>
      <c r="S31" s="271"/>
      <c r="T31" s="271"/>
      <c r="U31" s="271"/>
      <c r="V31" s="271"/>
      <c r="W31" s="268"/>
      <c r="X31" s="268"/>
      <c r="Y31" s="60"/>
      <c r="Z31" s="59"/>
      <c r="AA31" s="331"/>
      <c r="AB31" s="269"/>
      <c r="AC31" s="64"/>
      <c r="AH31" s="59"/>
      <c r="AI31" s="59"/>
      <c r="AK31" s="65"/>
      <c r="AP31" s="181"/>
      <c r="AQ31" s="181"/>
      <c r="BH31" s="140"/>
      <c r="BL31" s="181"/>
      <c r="BM31" s="181"/>
    </row>
    <row r="32" spans="1:95" s="61" customFormat="1" ht="24.95" customHeight="1" thickBot="1" x14ac:dyDescent="0.25">
      <c r="C32" s="288"/>
      <c r="D32" s="288"/>
      <c r="E32" s="288"/>
      <c r="F32" s="180"/>
      <c r="G32" s="75"/>
      <c r="H32" s="75"/>
      <c r="I32" s="75"/>
      <c r="J32" s="71"/>
      <c r="K32" s="71"/>
      <c r="L32" s="44"/>
      <c r="M32" s="284"/>
      <c r="N32" s="285"/>
      <c r="O32" s="71"/>
      <c r="P32" s="60"/>
      <c r="Q32" s="272" t="s">
        <v>178</v>
      </c>
      <c r="R32" s="273"/>
      <c r="S32" s="273"/>
      <c r="T32" s="273"/>
      <c r="U32" s="273"/>
      <c r="V32" s="273"/>
      <c r="W32" s="273"/>
      <c r="X32" s="273"/>
      <c r="Y32" s="60"/>
      <c r="Z32" s="59"/>
      <c r="AA32" s="332"/>
      <c r="AB32" s="274"/>
      <c r="AC32" s="64"/>
      <c r="AH32" s="59"/>
      <c r="AI32" s="59"/>
      <c r="AK32" s="65"/>
      <c r="AP32" s="182"/>
      <c r="AQ32" s="182"/>
      <c r="BH32" s="140"/>
      <c r="BL32" s="182"/>
      <c r="BM32" s="182"/>
    </row>
    <row r="33" spans="1:65" s="61" customFormat="1" ht="24.95" customHeight="1" x14ac:dyDescent="0.2">
      <c r="A33" s="345" t="s">
        <v>242</v>
      </c>
      <c r="B33" s="183"/>
      <c r="C33" s="348">
        <f>+AF3</f>
        <v>0.5</v>
      </c>
      <c r="D33" s="349" t="str">
        <f>+AF2</f>
        <v>w</v>
      </c>
      <c r="F33" s="184"/>
      <c r="G33" s="59"/>
      <c r="H33" s="59"/>
      <c r="I33" s="59"/>
      <c r="J33" s="59"/>
      <c r="K33" s="59"/>
      <c r="L33" s="59"/>
      <c r="M33" s="59"/>
      <c r="N33" s="59"/>
      <c r="O33" s="71"/>
      <c r="P33" s="60"/>
      <c r="Q33" s="272" t="s">
        <v>179</v>
      </c>
      <c r="R33" s="273"/>
      <c r="S33" s="273"/>
      <c r="T33" s="273"/>
      <c r="U33" s="273"/>
      <c r="V33" s="273"/>
      <c r="W33" s="273"/>
      <c r="X33" s="273"/>
      <c r="Y33" s="60"/>
      <c r="Z33" s="59"/>
      <c r="AA33" s="332"/>
      <c r="AB33" s="274"/>
      <c r="AC33" s="64"/>
      <c r="AH33" s="59"/>
      <c r="AI33" s="59"/>
      <c r="AK33" s="65"/>
      <c r="AP33" s="184"/>
      <c r="AQ33" s="184"/>
      <c r="BH33" s="140"/>
      <c r="BL33" s="184"/>
      <c r="BM33" s="184"/>
    </row>
    <row r="34" spans="1:65" s="185" customFormat="1" ht="24.95" hidden="1" customHeight="1" x14ac:dyDescent="0.2">
      <c r="B34" s="186"/>
      <c r="C34" s="186"/>
      <c r="D34" s="186"/>
      <c r="E34" s="186"/>
      <c r="F34" s="186"/>
      <c r="G34" s="187"/>
      <c r="H34" s="187"/>
      <c r="I34" s="187"/>
      <c r="J34" s="187"/>
      <c r="K34" s="187"/>
      <c r="L34" s="187"/>
      <c r="M34" s="187"/>
      <c r="N34" s="187"/>
      <c r="O34" s="187"/>
      <c r="P34" s="188"/>
      <c r="Y34" s="188"/>
      <c r="Z34" s="187"/>
      <c r="AA34" s="333"/>
      <c r="AC34" s="189" t="s">
        <v>19</v>
      </c>
      <c r="AH34" s="187"/>
      <c r="AI34" s="187"/>
      <c r="AK34" s="190"/>
      <c r="AP34" s="186"/>
      <c r="AQ34" s="186"/>
      <c r="BH34" s="191"/>
      <c r="BL34" s="186"/>
      <c r="BM34" s="186"/>
    </row>
    <row r="35" spans="1:65" s="192" customFormat="1" ht="3.95" customHeight="1" x14ac:dyDescent="0.2">
      <c r="P35" s="193"/>
      <c r="Q35" s="194"/>
      <c r="R35" s="195"/>
      <c r="S35" s="195"/>
      <c r="T35" s="195"/>
      <c r="U35" s="195"/>
      <c r="V35" s="195"/>
      <c r="W35" s="195"/>
      <c r="X35" s="195"/>
      <c r="Y35" s="193"/>
      <c r="Z35" s="201"/>
      <c r="AA35" s="334"/>
      <c r="AB35" s="196"/>
      <c r="AK35" s="197"/>
      <c r="BH35" s="198"/>
    </row>
    <row r="36" spans="1:65" x14ac:dyDescent="0.2">
      <c r="Z36" s="201"/>
    </row>
    <row r="37" spans="1:65" hidden="1" x14ac:dyDescent="0.2">
      <c r="Z37" s="201"/>
    </row>
    <row r="38" spans="1:65" hidden="1" x14ac:dyDescent="0.2">
      <c r="A38" s="199">
        <f>+A8</f>
        <v>1</v>
      </c>
      <c r="B38" s="199">
        <f>+B8</f>
        <v>2</v>
      </c>
      <c r="C38" s="199">
        <f>+C8</f>
        <v>3</v>
      </c>
      <c r="G38" s="199">
        <f t="shared" ref="G38:AD38" si="67">+G8</f>
        <v>4</v>
      </c>
      <c r="H38" s="199">
        <f t="shared" si="67"/>
        <v>5</v>
      </c>
      <c r="I38" s="199">
        <f>+I8</f>
        <v>6</v>
      </c>
      <c r="J38" s="199" t="e">
        <f>+#REF!</f>
        <v>#REF!</v>
      </c>
      <c r="K38" s="199">
        <f>+J8</f>
        <v>8</v>
      </c>
      <c r="L38" s="199">
        <f>+K8</f>
        <v>9</v>
      </c>
      <c r="M38" s="199"/>
      <c r="N38" s="199">
        <f>+M8</f>
        <v>10</v>
      </c>
      <c r="O38" s="199">
        <f>+N8</f>
        <v>11</v>
      </c>
      <c r="P38" s="199">
        <f t="shared" si="67"/>
        <v>12</v>
      </c>
      <c r="Q38" s="199">
        <f t="shared" si="67"/>
        <v>13</v>
      </c>
      <c r="R38" s="199">
        <f t="shared" si="67"/>
        <v>14</v>
      </c>
      <c r="S38" s="199"/>
      <c r="T38" s="199"/>
      <c r="U38" s="199"/>
      <c r="V38" s="199"/>
      <c r="W38" s="199">
        <f t="shared" si="67"/>
        <v>16</v>
      </c>
      <c r="X38" s="199">
        <f t="shared" si="67"/>
        <v>17</v>
      </c>
      <c r="Y38" s="199">
        <f t="shared" ref="Y38" si="68">+Y8</f>
        <v>0</v>
      </c>
      <c r="Z38" s="199"/>
      <c r="AA38" s="336"/>
      <c r="AB38" s="199"/>
      <c r="AC38" s="199">
        <f t="shared" si="67"/>
        <v>19</v>
      </c>
      <c r="AD38" s="199">
        <f t="shared" si="67"/>
        <v>20</v>
      </c>
      <c r="AH38" s="199">
        <f>+AH8</f>
        <v>8</v>
      </c>
      <c r="AI38" s="199">
        <f>+AD8</f>
        <v>20</v>
      </c>
    </row>
    <row r="39" spans="1:65" ht="16.5" hidden="1" x14ac:dyDescent="0.2">
      <c r="W39" s="204" t="s">
        <v>47</v>
      </c>
      <c r="X39" s="205" t="e">
        <f>+X40/6</f>
        <v>#DIV/0!</v>
      </c>
    </row>
    <row r="40" spans="1:65" s="207" customFormat="1" ht="16.5" hidden="1" x14ac:dyDescent="0.2">
      <c r="G40" s="201" t="s">
        <v>102</v>
      </c>
      <c r="H40" s="206"/>
      <c r="I40" s="206"/>
      <c r="J40" s="206"/>
      <c r="K40" s="206"/>
      <c r="L40" s="206"/>
      <c r="M40" s="206"/>
      <c r="N40" s="206"/>
      <c r="O40" s="206"/>
      <c r="P40" s="208"/>
      <c r="Q40" s="209"/>
      <c r="W40" s="210" t="s">
        <v>44</v>
      </c>
      <c r="X40" s="205" t="e">
        <f>+X26/Q41</f>
        <v>#DIV/0!</v>
      </c>
      <c r="Y40" s="208"/>
      <c r="Z40" s="208"/>
      <c r="AA40" s="335"/>
      <c r="AB40" s="206"/>
      <c r="AC40" s="196"/>
      <c r="AH40" s="206"/>
      <c r="AI40" s="206"/>
      <c r="AK40" s="211"/>
      <c r="BH40" s="212"/>
    </row>
    <row r="41" spans="1:65" ht="16.5" hidden="1" x14ac:dyDescent="0.2">
      <c r="B41" s="213"/>
      <c r="C41" s="213"/>
      <c r="D41" s="213"/>
      <c r="E41" s="213"/>
      <c r="F41" s="213"/>
      <c r="G41" s="201" t="s">
        <v>103</v>
      </c>
      <c r="Q41" s="171">
        <f>+Q26/6</f>
        <v>0</v>
      </c>
      <c r="R41" s="214" t="s">
        <v>101</v>
      </c>
      <c r="S41" s="214"/>
      <c r="T41" s="214"/>
      <c r="U41" s="214"/>
      <c r="V41" s="214"/>
      <c r="W41" s="215" t="s">
        <v>45</v>
      </c>
      <c r="X41" s="216" t="e">
        <f>+X26/I5</f>
        <v>#DIV/0!</v>
      </c>
      <c r="AP41" s="213"/>
      <c r="AQ41" s="213"/>
      <c r="BL41" s="213"/>
      <c r="BM41" s="213"/>
    </row>
    <row r="42" spans="1:65" ht="16.5" hidden="1" x14ac:dyDescent="0.2">
      <c r="G42" s="201" t="s">
        <v>104</v>
      </c>
      <c r="W42" s="217" t="s">
        <v>46</v>
      </c>
      <c r="X42" s="218" t="e">
        <f>+Q41/I5</f>
        <v>#DIV/0!</v>
      </c>
    </row>
    <row r="43" spans="1:65" hidden="1" x14ac:dyDescent="0.2">
      <c r="B43" s="213"/>
      <c r="C43" s="213"/>
      <c r="D43" s="213"/>
      <c r="E43" s="213"/>
      <c r="F43" s="213"/>
      <c r="G43" s="201" t="s">
        <v>107</v>
      </c>
      <c r="AP43" s="213"/>
      <c r="AQ43" s="213"/>
      <c r="BL43" s="213"/>
      <c r="BM43" s="213"/>
    </row>
    <row r="44" spans="1:65" hidden="1" x14ac:dyDescent="0.2">
      <c r="W44" s="219" t="e">
        <f>+#REF!</f>
        <v>#REF!</v>
      </c>
      <c r="X44" s="220" t="e">
        <f>+#REF!</f>
        <v>#REF!</v>
      </c>
    </row>
    <row r="45" spans="1:65" hidden="1" x14ac:dyDescent="0.2">
      <c r="W45" s="219" t="e">
        <f>+#REF!</f>
        <v>#REF!</v>
      </c>
      <c r="X45" s="220" t="e">
        <f>+#REF!</f>
        <v>#REF!</v>
      </c>
    </row>
    <row r="46" spans="1:65" hidden="1" x14ac:dyDescent="0.2">
      <c r="W46" s="219" t="e">
        <f>+#REF!</f>
        <v>#REF!</v>
      </c>
      <c r="X46" s="220" t="e">
        <f>+#REF!</f>
        <v>#REF!</v>
      </c>
    </row>
    <row r="47" spans="1:65" hidden="1" x14ac:dyDescent="0.2"/>
    <row r="48" spans="1:6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</sheetData>
  <sheetProtection password="CC2F" sheet="1" objects="1" scenarios="1"/>
  <mergeCells count="3">
    <mergeCell ref="D6:D7"/>
    <mergeCell ref="AO6:AO7"/>
    <mergeCell ref="BK6:BK7"/>
  </mergeCells>
  <phoneticPr fontId="0" type="noConversion"/>
  <hyperlinks>
    <hyperlink ref="R5" r:id="rId1"/>
  </hyperlinks>
  <pageMargins left="0.5" right="0.25" top="0.35" bottom="0.3" header="0.25" footer="0.22"/>
  <pageSetup scale="55" fitToWidth="2" orientation="landscape" r:id="rId2"/>
  <headerFooter alignWithMargins="0">
    <oddFooter>&amp;L&amp;8Printed @ &amp;T on &amp;D&amp;CPage &amp;P of &amp;N&amp;R&amp;9Tab: &amp;A   in File: &amp;F</oddFooter>
  </headerFooter>
  <colBreaks count="1" manualBreakCount="1">
    <brk id="15" min="8" max="3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Z43"/>
  <sheetViews>
    <sheetView zoomScale="75" zoomScaleNormal="100" zoomScaleSheetLayoutView="100" workbookViewId="0">
      <pane xSplit="3" ySplit="8" topLeftCell="D9" activePane="bottomRight" state="frozen"/>
      <selection activeCell="D11" sqref="D11"/>
      <selection pane="topRight" activeCell="D11" sqref="D11"/>
      <selection pane="bottomLeft" activeCell="D11" sqref="D11"/>
      <selection pane="bottomRight" activeCell="D9" sqref="D9"/>
    </sheetView>
  </sheetViews>
  <sheetFormatPr defaultColWidth="9.33203125" defaultRowHeight="15.75" x14ac:dyDescent="0.2"/>
  <cols>
    <col min="1" max="1" width="9.33203125" style="199"/>
    <col min="2" max="3" width="15.83203125" style="199" customWidth="1"/>
    <col min="4" max="4" width="3.83203125" style="199" customWidth="1"/>
    <col min="5" max="5" width="13.83203125" style="201" hidden="1" customWidth="1"/>
    <col min="6" max="6" width="17.33203125" style="201" hidden="1" customWidth="1"/>
    <col min="7" max="7" width="15.83203125" style="201" customWidth="1"/>
    <col min="8" max="8" width="13.83203125" style="201" hidden="1" customWidth="1"/>
    <col min="9" max="9" width="13.83203125" style="201" customWidth="1"/>
    <col min="10" max="10" width="15.83203125" style="201" hidden="1" customWidth="1"/>
    <col min="11" max="11" width="17.83203125" style="201" hidden="1" customWidth="1"/>
    <col min="12" max="12" width="30.1640625" style="201" customWidth="1"/>
    <col min="13" max="16" width="15.83203125" style="201" customWidth="1"/>
    <col min="17" max="17" width="0.5" style="193" customWidth="1"/>
    <col min="18" max="18" width="1.83203125" style="206" customWidth="1"/>
    <col min="19" max="19" width="0.5" style="192" customWidth="1"/>
    <col min="20" max="44" width="10.83203125" style="201" customWidth="1"/>
    <col min="45" max="45" width="45.83203125" style="199" customWidth="1"/>
    <col min="46" max="46" width="0.5" style="193" customWidth="1"/>
    <col min="47" max="47" width="9.33203125" style="199"/>
    <col min="48" max="48" width="0.5" style="193" customWidth="1"/>
    <col min="49" max="49" width="9.33203125" style="199"/>
    <col min="50" max="52" width="25.83203125" style="199" customWidth="1"/>
    <col min="53" max="16384" width="9.33203125" style="199"/>
  </cols>
  <sheetData>
    <row r="1" spans="1:52" s="222" customFormat="1" ht="24.95" customHeight="1" thickBot="1" x14ac:dyDescent="0.25">
      <c r="A1" s="221" t="s">
        <v>48</v>
      </c>
      <c r="C1" s="221"/>
      <c r="D1" s="68"/>
      <c r="E1" s="223"/>
      <c r="F1" s="223"/>
      <c r="G1" s="68" t="s">
        <v>51</v>
      </c>
      <c r="K1" s="224"/>
      <c r="L1" s="223"/>
      <c r="M1" s="223"/>
      <c r="N1" s="223"/>
      <c r="O1" s="223"/>
      <c r="P1" s="223"/>
      <c r="Q1" s="225"/>
      <c r="R1" s="226"/>
      <c r="S1" s="227" t="s">
        <v>19</v>
      </c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T1" s="225"/>
      <c r="AV1" s="225"/>
      <c r="AX1" s="222" t="s">
        <v>89</v>
      </c>
      <c r="AY1" s="222" t="s">
        <v>94</v>
      </c>
      <c r="AZ1" s="222" t="s">
        <v>89</v>
      </c>
    </row>
    <row r="2" spans="1:52" s="222" customFormat="1" ht="24.95" customHeight="1" thickBot="1" x14ac:dyDescent="0.25">
      <c r="B2" s="228" t="s">
        <v>0</v>
      </c>
      <c r="C2" s="229" t="e">
        <f>+#REF!</f>
        <v>#REF!</v>
      </c>
      <c r="D2" s="230"/>
      <c r="E2" s="231"/>
      <c r="F2" s="232"/>
      <c r="K2" s="223"/>
      <c r="L2" s="235"/>
      <c r="M2" s="233" t="s">
        <v>53</v>
      </c>
      <c r="N2" s="234"/>
      <c r="O2" s="234"/>
      <c r="P2" s="234"/>
      <c r="Q2" s="225"/>
      <c r="R2" s="226"/>
      <c r="S2" s="227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T2" s="225"/>
      <c r="AV2" s="225"/>
      <c r="AX2" s="236" t="s">
        <v>90</v>
      </c>
      <c r="AY2" s="236" t="s">
        <v>95</v>
      </c>
      <c r="AZ2" s="236" t="s">
        <v>95</v>
      </c>
    </row>
    <row r="3" spans="1:52" s="222" customFormat="1" ht="24.95" customHeight="1" thickBot="1" x14ac:dyDescent="0.25">
      <c r="B3" s="228" t="s">
        <v>50</v>
      </c>
      <c r="C3" s="229" t="e">
        <f>+#REF!</f>
        <v>#REF!</v>
      </c>
      <c r="D3" s="230"/>
      <c r="E3" s="231"/>
      <c r="F3" s="232"/>
      <c r="K3" s="223"/>
      <c r="L3" s="235"/>
      <c r="M3" s="223"/>
      <c r="N3" s="223" t="s">
        <v>105</v>
      </c>
      <c r="O3" s="223"/>
      <c r="P3" s="223"/>
      <c r="Q3" s="225"/>
      <c r="R3" s="226"/>
      <c r="S3" s="227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T3" s="225"/>
      <c r="AV3" s="225"/>
      <c r="AX3" s="236" t="s">
        <v>91</v>
      </c>
      <c r="AY3" s="236" t="s">
        <v>96</v>
      </c>
      <c r="AZ3" s="236" t="s">
        <v>96</v>
      </c>
    </row>
    <row r="4" spans="1:52" s="222" customFormat="1" ht="24.95" customHeight="1" thickBot="1" x14ac:dyDescent="0.25">
      <c r="B4" s="228" t="s">
        <v>12</v>
      </c>
      <c r="C4" s="229" t="e">
        <f>+#REF!</f>
        <v>#REF!</v>
      </c>
      <c r="D4" s="230"/>
      <c r="E4" s="231"/>
      <c r="F4" s="232"/>
      <c r="K4" s="223"/>
      <c r="L4" s="235"/>
      <c r="M4" s="223"/>
      <c r="N4" s="223"/>
      <c r="O4" s="223"/>
      <c r="P4" s="223"/>
      <c r="Q4" s="225"/>
      <c r="R4" s="226"/>
      <c r="S4" s="227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T4" s="225"/>
      <c r="AV4" s="225"/>
      <c r="AX4" s="236" t="s">
        <v>92</v>
      </c>
      <c r="AY4" s="236" t="s">
        <v>97</v>
      </c>
      <c r="AZ4" s="236" t="s">
        <v>97</v>
      </c>
    </row>
    <row r="5" spans="1:52" s="222" customFormat="1" ht="24.95" customHeight="1" thickBot="1" x14ac:dyDescent="0.25">
      <c r="B5" s="213" t="s">
        <v>41</v>
      </c>
      <c r="C5" s="229" t="e">
        <f>+#REF!</f>
        <v>#REF!</v>
      </c>
      <c r="D5" s="230"/>
      <c r="E5" s="231"/>
      <c r="F5" s="223"/>
      <c r="L5" s="237"/>
      <c r="M5" s="238" t="s">
        <v>52</v>
      </c>
      <c r="N5" s="223"/>
      <c r="O5" s="223"/>
      <c r="P5" s="223"/>
      <c r="Q5" s="225"/>
      <c r="R5" s="226"/>
      <c r="S5" s="227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T5" s="225"/>
      <c r="AV5" s="225"/>
      <c r="AX5" s="236" t="s">
        <v>93</v>
      </c>
      <c r="AY5" s="236" t="s">
        <v>93</v>
      </c>
      <c r="AZ5" s="236" t="s">
        <v>93</v>
      </c>
    </row>
    <row r="6" spans="1:52" s="222" customFormat="1" ht="24.95" customHeight="1" x14ac:dyDescent="0.2">
      <c r="A6" s="239"/>
      <c r="B6" s="240" t="s">
        <v>38</v>
      </c>
      <c r="C6" s="241"/>
      <c r="D6" s="355" t="s">
        <v>43</v>
      </c>
      <c r="E6" s="242" t="s">
        <v>1</v>
      </c>
      <c r="F6" s="242" t="s">
        <v>7</v>
      </c>
      <c r="G6" s="242" t="s">
        <v>21</v>
      </c>
      <c r="H6" s="242" t="s">
        <v>4</v>
      </c>
      <c r="I6" s="242" t="s">
        <v>4</v>
      </c>
      <c r="J6" s="242" t="s">
        <v>14</v>
      </c>
      <c r="K6" s="242" t="s">
        <v>4</v>
      </c>
      <c r="L6" s="243" t="s">
        <v>17</v>
      </c>
      <c r="M6" s="238"/>
      <c r="N6" s="241" t="s">
        <v>82</v>
      </c>
      <c r="O6" s="241" t="s">
        <v>84</v>
      </c>
      <c r="P6" s="241" t="s">
        <v>88</v>
      </c>
      <c r="Q6" s="225"/>
      <c r="R6" s="226"/>
      <c r="S6" s="227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T6" s="225"/>
      <c r="AV6" s="225"/>
      <c r="AY6" s="236" t="s">
        <v>98</v>
      </c>
      <c r="AZ6" s="244" t="s">
        <v>99</v>
      </c>
    </row>
    <row r="7" spans="1:52" s="222" customFormat="1" ht="50.1" customHeight="1" thickBot="1" x14ac:dyDescent="0.25">
      <c r="A7" s="245" t="s">
        <v>9</v>
      </c>
      <c r="B7" s="246" t="s">
        <v>20</v>
      </c>
      <c r="C7" s="247" t="s">
        <v>18</v>
      </c>
      <c r="D7" s="356"/>
      <c r="E7" s="248" t="s">
        <v>2</v>
      </c>
      <c r="F7" s="248" t="s">
        <v>3</v>
      </c>
      <c r="G7" s="249" t="s">
        <v>22</v>
      </c>
      <c r="H7" s="248" t="s">
        <v>2</v>
      </c>
      <c r="I7" s="248" t="s">
        <v>20</v>
      </c>
      <c r="J7" s="248" t="s">
        <v>21</v>
      </c>
      <c r="K7" s="248" t="s">
        <v>5</v>
      </c>
      <c r="L7" s="250" t="s">
        <v>8</v>
      </c>
      <c r="M7" s="251" t="s">
        <v>20</v>
      </c>
      <c r="N7" s="252" t="s">
        <v>85</v>
      </c>
      <c r="O7" s="252" t="s">
        <v>87</v>
      </c>
      <c r="P7" s="253" t="s">
        <v>86</v>
      </c>
      <c r="Q7" s="225"/>
      <c r="R7" s="226"/>
      <c r="S7" s="227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52"/>
      <c r="AT7" s="225"/>
      <c r="AU7" s="222" t="s">
        <v>83</v>
      </c>
      <c r="AV7" s="225"/>
      <c r="AX7" s="222" t="str">
        <f>+N6</f>
        <v>W</v>
      </c>
      <c r="AY7" s="222" t="str">
        <f>+O6</f>
        <v>D</v>
      </c>
      <c r="AZ7" s="222" t="str">
        <f>+P6</f>
        <v>S</v>
      </c>
    </row>
    <row r="8" spans="1:52" s="222" customFormat="1" ht="3" customHeight="1" x14ac:dyDescent="0.2">
      <c r="A8" s="222">
        <v>1</v>
      </c>
      <c r="B8" s="222">
        <v>2</v>
      </c>
      <c r="C8" s="222">
        <v>3</v>
      </c>
      <c r="D8" s="61"/>
      <c r="E8" s="222">
        <v>4</v>
      </c>
      <c r="F8" s="222">
        <v>5</v>
      </c>
      <c r="G8" s="222">
        <v>6</v>
      </c>
      <c r="H8" s="222">
        <v>7</v>
      </c>
      <c r="I8" s="222">
        <v>8</v>
      </c>
      <c r="J8" s="222">
        <v>9</v>
      </c>
      <c r="K8" s="222">
        <v>10</v>
      </c>
      <c r="L8" s="237">
        <v>11</v>
      </c>
      <c r="M8" s="222">
        <v>2</v>
      </c>
      <c r="N8" s="222">
        <v>3</v>
      </c>
      <c r="Q8" s="222">
        <v>12</v>
      </c>
      <c r="R8" s="222">
        <v>18</v>
      </c>
      <c r="S8" s="222">
        <v>19</v>
      </c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2">
        <v>20</v>
      </c>
      <c r="AT8" s="225"/>
      <c r="AV8" s="225"/>
    </row>
    <row r="9" spans="1:52" s="261" customFormat="1" ht="35.1" customHeight="1" x14ac:dyDescent="0.2">
      <c r="A9" s="254">
        <v>1</v>
      </c>
      <c r="B9" s="255" t="str">
        <f>IF(+I9=0,"",+M9-2*I9-0.375+1.25)</f>
        <v/>
      </c>
      <c r="C9" s="256" t="str">
        <f>IF(I9="","",IF(+D9="W",+AX9,+IF(+D9="D",+AY9,+IF(+D9="S",+AZ9,"Err"))))</f>
        <v/>
      </c>
      <c r="D9" s="32" t="s">
        <v>82</v>
      </c>
      <c r="E9" s="5"/>
      <c r="F9" s="6"/>
      <c r="G9" s="5"/>
      <c r="H9" s="5"/>
      <c r="I9" s="3"/>
      <c r="J9" s="7"/>
      <c r="K9" s="5"/>
      <c r="L9" s="9"/>
      <c r="M9" s="8"/>
      <c r="N9" s="4"/>
      <c r="O9" s="4"/>
      <c r="P9" s="4"/>
      <c r="Q9" s="257"/>
      <c r="R9" s="258"/>
      <c r="S9" s="259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60"/>
      <c r="AT9" s="257"/>
      <c r="AU9" s="266">
        <f>3/16</f>
        <v>0.1875</v>
      </c>
      <c r="AV9" s="257"/>
      <c r="AX9" s="262">
        <f>+N9-(2*I9)-(2*AU9)+(2*0.625)</f>
        <v>0.875</v>
      </c>
      <c r="AY9" s="262">
        <f>+O9-I9-AU9+0.625</f>
        <v>0.4375</v>
      </c>
      <c r="AZ9" s="262">
        <f>+P9-I9-AU9+0.625</f>
        <v>0.4375</v>
      </c>
    </row>
    <row r="10" spans="1:52" s="261" customFormat="1" ht="35.1" customHeight="1" x14ac:dyDescent="0.2">
      <c r="A10" s="254">
        <v>2</v>
      </c>
      <c r="B10" s="255" t="str">
        <f t="shared" ref="B10:B17" si="0">IF(+I10=0,"",+M10-2*I10-0.375+1.25)</f>
        <v/>
      </c>
      <c r="C10" s="256" t="str">
        <f t="shared" ref="C10:C17" si="1">IF(I10="","",IF(+D10="W",+AX10,+IF(+D10="D",+AY10,+IF(+D10="S",+AZ10,"Err"))))</f>
        <v/>
      </c>
      <c r="D10" s="32" t="s">
        <v>82</v>
      </c>
      <c r="E10" s="5"/>
      <c r="F10" s="6"/>
      <c r="G10" s="5"/>
      <c r="H10" s="5"/>
      <c r="I10" s="3"/>
      <c r="J10" s="7"/>
      <c r="K10" s="5"/>
      <c r="L10" s="9"/>
      <c r="M10" s="8"/>
      <c r="N10" s="4"/>
      <c r="O10" s="4"/>
      <c r="P10" s="4"/>
      <c r="Q10" s="257"/>
      <c r="R10" s="258"/>
      <c r="S10" s="259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63"/>
      <c r="AT10" s="257"/>
      <c r="AU10" s="261">
        <f>+AU9</f>
        <v>0.1875</v>
      </c>
      <c r="AV10" s="257"/>
      <c r="AX10" s="262">
        <f t="shared" ref="AX10:AX17" si="2">+N10-(2*I10)-(2*AU10)+(2*0.625)</f>
        <v>0.875</v>
      </c>
      <c r="AY10" s="262">
        <f t="shared" ref="AY10:AY17" si="3">+O10-I10-AU10+0.625</f>
        <v>0.4375</v>
      </c>
      <c r="AZ10" s="262">
        <f t="shared" ref="AZ10:AZ17" si="4">+P10-I10-AU10+0.625</f>
        <v>0.4375</v>
      </c>
    </row>
    <row r="11" spans="1:52" s="261" customFormat="1" ht="35.1" customHeight="1" x14ac:dyDescent="0.2">
      <c r="A11" s="254">
        <v>3</v>
      </c>
      <c r="B11" s="255" t="str">
        <f t="shared" si="0"/>
        <v/>
      </c>
      <c r="C11" s="256" t="str">
        <f t="shared" si="1"/>
        <v/>
      </c>
      <c r="D11" s="32" t="s">
        <v>82</v>
      </c>
      <c r="E11" s="5"/>
      <c r="F11" s="6"/>
      <c r="G11" s="5"/>
      <c r="H11" s="5"/>
      <c r="I11" s="3"/>
      <c r="J11" s="7"/>
      <c r="K11" s="5"/>
      <c r="L11" s="9"/>
      <c r="M11" s="8"/>
      <c r="N11" s="4"/>
      <c r="O11" s="4"/>
      <c r="P11" s="4"/>
      <c r="Q11" s="257"/>
      <c r="R11" s="258"/>
      <c r="S11" s="259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63"/>
      <c r="AT11" s="257"/>
      <c r="AU11" s="261">
        <f t="shared" ref="AU11:AU17" si="5">+AU10</f>
        <v>0.1875</v>
      </c>
      <c r="AV11" s="257"/>
      <c r="AX11" s="262">
        <f t="shared" si="2"/>
        <v>0.875</v>
      </c>
      <c r="AY11" s="262">
        <f t="shared" si="3"/>
        <v>0.4375</v>
      </c>
      <c r="AZ11" s="262">
        <f t="shared" si="4"/>
        <v>0.4375</v>
      </c>
    </row>
    <row r="12" spans="1:52" s="261" customFormat="1" ht="35.1" customHeight="1" x14ac:dyDescent="0.2">
      <c r="A12" s="254">
        <v>4</v>
      </c>
      <c r="B12" s="255" t="str">
        <f t="shared" si="0"/>
        <v/>
      </c>
      <c r="C12" s="256" t="str">
        <f t="shared" si="1"/>
        <v/>
      </c>
      <c r="D12" s="32" t="s">
        <v>88</v>
      </c>
      <c r="E12" s="5"/>
      <c r="F12" s="6"/>
      <c r="G12" s="5"/>
      <c r="H12" s="5"/>
      <c r="I12" s="3"/>
      <c r="J12" s="7"/>
      <c r="K12" s="5"/>
      <c r="L12" s="9"/>
      <c r="M12" s="8"/>
      <c r="N12" s="4"/>
      <c r="O12" s="4"/>
      <c r="P12" s="4"/>
      <c r="Q12" s="257"/>
      <c r="R12" s="258"/>
      <c r="S12" s="259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63"/>
      <c r="AT12" s="257"/>
      <c r="AU12" s="261">
        <f t="shared" si="5"/>
        <v>0.1875</v>
      </c>
      <c r="AV12" s="257"/>
      <c r="AX12" s="262">
        <f t="shared" si="2"/>
        <v>0.875</v>
      </c>
      <c r="AY12" s="262">
        <f t="shared" si="3"/>
        <v>0.4375</v>
      </c>
      <c r="AZ12" s="262">
        <f t="shared" si="4"/>
        <v>0.4375</v>
      </c>
    </row>
    <row r="13" spans="1:52" s="261" customFormat="1" ht="35.1" customHeight="1" x14ac:dyDescent="0.2">
      <c r="A13" s="254">
        <v>5</v>
      </c>
      <c r="B13" s="255" t="str">
        <f t="shared" si="0"/>
        <v/>
      </c>
      <c r="C13" s="256" t="str">
        <f t="shared" si="1"/>
        <v/>
      </c>
      <c r="D13" s="32" t="s">
        <v>82</v>
      </c>
      <c r="E13" s="5"/>
      <c r="F13" s="6"/>
      <c r="G13" s="5"/>
      <c r="H13" s="5"/>
      <c r="I13" s="3"/>
      <c r="J13" s="7"/>
      <c r="K13" s="5"/>
      <c r="L13" s="9"/>
      <c r="M13" s="8"/>
      <c r="N13" s="4"/>
      <c r="O13" s="4"/>
      <c r="P13" s="4"/>
      <c r="Q13" s="257"/>
      <c r="R13" s="258"/>
      <c r="S13" s="259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63"/>
      <c r="AT13" s="257"/>
      <c r="AU13" s="261">
        <f t="shared" si="5"/>
        <v>0.1875</v>
      </c>
      <c r="AV13" s="257"/>
      <c r="AX13" s="262">
        <f t="shared" si="2"/>
        <v>0.875</v>
      </c>
      <c r="AY13" s="262">
        <f t="shared" si="3"/>
        <v>0.4375</v>
      </c>
      <c r="AZ13" s="262">
        <f t="shared" si="4"/>
        <v>0.4375</v>
      </c>
    </row>
    <row r="14" spans="1:52" s="261" customFormat="1" ht="35.1" customHeight="1" x14ac:dyDescent="0.2">
      <c r="A14" s="254">
        <v>6</v>
      </c>
      <c r="B14" s="255" t="str">
        <f t="shared" si="0"/>
        <v/>
      </c>
      <c r="C14" s="256" t="str">
        <f t="shared" si="1"/>
        <v/>
      </c>
      <c r="D14" s="32" t="s">
        <v>82</v>
      </c>
      <c r="E14" s="5"/>
      <c r="F14" s="6"/>
      <c r="G14" s="5"/>
      <c r="H14" s="5"/>
      <c r="I14" s="3"/>
      <c r="J14" s="7"/>
      <c r="K14" s="5"/>
      <c r="L14" s="9"/>
      <c r="M14" s="8"/>
      <c r="N14" s="4"/>
      <c r="O14" s="4"/>
      <c r="P14" s="4"/>
      <c r="Q14" s="257"/>
      <c r="R14" s="258"/>
      <c r="S14" s="259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63"/>
      <c r="AT14" s="257"/>
      <c r="AU14" s="261">
        <f t="shared" si="5"/>
        <v>0.1875</v>
      </c>
      <c r="AV14" s="257"/>
      <c r="AX14" s="262">
        <f t="shared" si="2"/>
        <v>0.875</v>
      </c>
      <c r="AY14" s="262">
        <f t="shared" si="3"/>
        <v>0.4375</v>
      </c>
      <c r="AZ14" s="262">
        <f t="shared" si="4"/>
        <v>0.4375</v>
      </c>
    </row>
    <row r="15" spans="1:52" s="261" customFormat="1" ht="35.1" customHeight="1" x14ac:dyDescent="0.2">
      <c r="A15" s="254">
        <v>7</v>
      </c>
      <c r="B15" s="255" t="str">
        <f t="shared" si="0"/>
        <v/>
      </c>
      <c r="C15" s="256" t="str">
        <f t="shared" si="1"/>
        <v/>
      </c>
      <c r="D15" s="32" t="s">
        <v>82</v>
      </c>
      <c r="E15" s="5"/>
      <c r="F15" s="6"/>
      <c r="G15" s="5"/>
      <c r="H15" s="5"/>
      <c r="I15" s="3"/>
      <c r="J15" s="7"/>
      <c r="K15" s="5"/>
      <c r="L15" s="9"/>
      <c r="M15" s="8"/>
      <c r="N15" s="4"/>
      <c r="O15" s="4"/>
      <c r="P15" s="4"/>
      <c r="Q15" s="257"/>
      <c r="R15" s="258"/>
      <c r="S15" s="259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63"/>
      <c r="AT15" s="257"/>
      <c r="AU15" s="261">
        <f t="shared" si="5"/>
        <v>0.1875</v>
      </c>
      <c r="AV15" s="257"/>
      <c r="AX15" s="262">
        <f t="shared" si="2"/>
        <v>0.875</v>
      </c>
      <c r="AY15" s="262">
        <f t="shared" si="3"/>
        <v>0.4375</v>
      </c>
      <c r="AZ15" s="262">
        <f t="shared" si="4"/>
        <v>0.4375</v>
      </c>
    </row>
    <row r="16" spans="1:52" s="261" customFormat="1" ht="35.1" customHeight="1" x14ac:dyDescent="0.2">
      <c r="A16" s="254">
        <v>8</v>
      </c>
      <c r="B16" s="255" t="str">
        <f t="shared" si="0"/>
        <v/>
      </c>
      <c r="C16" s="256" t="str">
        <f t="shared" si="1"/>
        <v/>
      </c>
      <c r="D16" s="32" t="s">
        <v>82</v>
      </c>
      <c r="E16" s="5"/>
      <c r="F16" s="6"/>
      <c r="G16" s="5"/>
      <c r="H16" s="5"/>
      <c r="I16" s="3"/>
      <c r="J16" s="7"/>
      <c r="K16" s="5"/>
      <c r="L16" s="9"/>
      <c r="M16" s="8"/>
      <c r="N16" s="4"/>
      <c r="O16" s="4"/>
      <c r="P16" s="4"/>
      <c r="Q16" s="257"/>
      <c r="R16" s="258"/>
      <c r="S16" s="259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63"/>
      <c r="AT16" s="257"/>
      <c r="AU16" s="261">
        <f t="shared" si="5"/>
        <v>0.1875</v>
      </c>
      <c r="AV16" s="257"/>
      <c r="AX16" s="262">
        <f t="shared" si="2"/>
        <v>0.875</v>
      </c>
      <c r="AY16" s="262">
        <f t="shared" si="3"/>
        <v>0.4375</v>
      </c>
      <c r="AZ16" s="262">
        <f t="shared" si="4"/>
        <v>0.4375</v>
      </c>
    </row>
    <row r="17" spans="1:52" s="261" customFormat="1" ht="35.1" customHeight="1" x14ac:dyDescent="0.2">
      <c r="A17" s="254">
        <v>9</v>
      </c>
      <c r="B17" s="255" t="str">
        <f t="shared" si="0"/>
        <v/>
      </c>
      <c r="C17" s="256" t="str">
        <f t="shared" si="1"/>
        <v/>
      </c>
      <c r="D17" s="32" t="s">
        <v>82</v>
      </c>
      <c r="E17" s="5"/>
      <c r="F17" s="6"/>
      <c r="G17" s="5"/>
      <c r="H17" s="5"/>
      <c r="I17" s="3"/>
      <c r="J17" s="7"/>
      <c r="K17" s="5"/>
      <c r="L17" s="9"/>
      <c r="M17" s="8"/>
      <c r="N17" s="4"/>
      <c r="O17" s="4"/>
      <c r="P17" s="4"/>
      <c r="Q17" s="257"/>
      <c r="R17" s="258"/>
      <c r="S17" s="259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63"/>
      <c r="AT17" s="257"/>
      <c r="AU17" s="261">
        <f t="shared" si="5"/>
        <v>0.1875</v>
      </c>
      <c r="AV17" s="257"/>
      <c r="AX17" s="262">
        <f t="shared" si="2"/>
        <v>0.875</v>
      </c>
      <c r="AY17" s="262">
        <f t="shared" si="3"/>
        <v>0.4375</v>
      </c>
      <c r="AZ17" s="262">
        <f t="shared" si="4"/>
        <v>0.4375</v>
      </c>
    </row>
    <row r="18" spans="1:52" s="261" customFormat="1" ht="35.1" customHeight="1" x14ac:dyDescent="0.2">
      <c r="A18" s="254">
        <v>10</v>
      </c>
      <c r="B18" s="255" t="str">
        <f t="shared" ref="B18:B23" si="6">IF(+I18=0,"",+M18-2*I18-0.375+1.25)</f>
        <v/>
      </c>
      <c r="C18" s="256" t="str">
        <f t="shared" ref="C18:C23" si="7">IF(I18="","",IF(+D18="W",+AX18,+IF(+D18="D",+AY18,+IF(+D18="S",+AZ18,"Err"))))</f>
        <v/>
      </c>
      <c r="D18" s="32" t="s">
        <v>82</v>
      </c>
      <c r="E18" s="5"/>
      <c r="F18" s="6"/>
      <c r="G18" s="5"/>
      <c r="H18" s="5"/>
      <c r="I18" s="3"/>
      <c r="J18" s="7"/>
      <c r="K18" s="5"/>
      <c r="L18" s="9"/>
      <c r="M18" s="8"/>
      <c r="N18" s="4"/>
      <c r="O18" s="4"/>
      <c r="P18" s="4"/>
      <c r="Q18" s="257"/>
      <c r="R18" s="258"/>
      <c r="S18" s="259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63"/>
      <c r="AT18" s="257"/>
      <c r="AU18" s="261">
        <f t="shared" ref="AU18:AU23" si="8">+AU17</f>
        <v>0.1875</v>
      </c>
      <c r="AV18" s="257"/>
      <c r="AX18" s="262">
        <f t="shared" ref="AX18:AX23" si="9">+N18-(2*I18)-(2*AU18)+(2*0.625)</f>
        <v>0.875</v>
      </c>
      <c r="AY18" s="262">
        <f t="shared" ref="AY18:AY23" si="10">+O18-I18-AU18+0.625</f>
        <v>0.4375</v>
      </c>
      <c r="AZ18" s="262">
        <f t="shared" ref="AZ18:AZ23" si="11">+P18-I18-AU18+0.625</f>
        <v>0.4375</v>
      </c>
    </row>
    <row r="19" spans="1:52" s="261" customFormat="1" ht="35.1" customHeight="1" x14ac:dyDescent="0.2">
      <c r="A19" s="254">
        <v>11</v>
      </c>
      <c r="B19" s="255" t="str">
        <f t="shared" si="6"/>
        <v/>
      </c>
      <c r="C19" s="256" t="str">
        <f t="shared" si="7"/>
        <v/>
      </c>
      <c r="D19" s="32" t="s">
        <v>82</v>
      </c>
      <c r="E19" s="5"/>
      <c r="F19" s="6"/>
      <c r="G19" s="5"/>
      <c r="H19" s="5"/>
      <c r="I19" s="3"/>
      <c r="J19" s="7"/>
      <c r="K19" s="5"/>
      <c r="L19" s="9"/>
      <c r="M19" s="8"/>
      <c r="N19" s="4"/>
      <c r="O19" s="4"/>
      <c r="P19" s="4"/>
      <c r="Q19" s="257"/>
      <c r="R19" s="258"/>
      <c r="S19" s="259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63"/>
      <c r="AT19" s="257"/>
      <c r="AU19" s="261">
        <f t="shared" si="8"/>
        <v>0.1875</v>
      </c>
      <c r="AV19" s="257"/>
      <c r="AX19" s="262">
        <f t="shared" si="9"/>
        <v>0.875</v>
      </c>
      <c r="AY19" s="262">
        <f t="shared" si="10"/>
        <v>0.4375</v>
      </c>
      <c r="AZ19" s="262">
        <f t="shared" si="11"/>
        <v>0.4375</v>
      </c>
    </row>
    <row r="20" spans="1:52" s="261" customFormat="1" ht="35.1" customHeight="1" x14ac:dyDescent="0.2">
      <c r="A20" s="254">
        <v>12</v>
      </c>
      <c r="B20" s="255" t="str">
        <f t="shared" si="6"/>
        <v/>
      </c>
      <c r="C20" s="256" t="str">
        <f t="shared" si="7"/>
        <v/>
      </c>
      <c r="D20" s="32" t="s">
        <v>82</v>
      </c>
      <c r="E20" s="5"/>
      <c r="F20" s="6"/>
      <c r="G20" s="5"/>
      <c r="H20" s="5"/>
      <c r="I20" s="3"/>
      <c r="J20" s="7"/>
      <c r="K20" s="5"/>
      <c r="L20" s="9"/>
      <c r="M20" s="8"/>
      <c r="N20" s="4"/>
      <c r="O20" s="4"/>
      <c r="P20" s="4"/>
      <c r="Q20" s="257"/>
      <c r="R20" s="258"/>
      <c r="S20" s="259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63"/>
      <c r="AT20" s="257"/>
      <c r="AU20" s="261">
        <f t="shared" si="8"/>
        <v>0.1875</v>
      </c>
      <c r="AV20" s="257"/>
      <c r="AX20" s="262">
        <f t="shared" si="9"/>
        <v>0.875</v>
      </c>
      <c r="AY20" s="262">
        <f t="shared" si="10"/>
        <v>0.4375</v>
      </c>
      <c r="AZ20" s="262">
        <f t="shared" si="11"/>
        <v>0.4375</v>
      </c>
    </row>
    <row r="21" spans="1:52" s="261" customFormat="1" ht="35.1" customHeight="1" x14ac:dyDescent="0.2">
      <c r="A21" s="254">
        <v>13</v>
      </c>
      <c r="B21" s="255" t="str">
        <f t="shared" si="6"/>
        <v/>
      </c>
      <c r="C21" s="256" t="str">
        <f t="shared" si="7"/>
        <v/>
      </c>
      <c r="D21" s="32" t="s">
        <v>82</v>
      </c>
      <c r="E21" s="5"/>
      <c r="F21" s="6"/>
      <c r="G21" s="5"/>
      <c r="H21" s="5"/>
      <c r="I21" s="3"/>
      <c r="J21" s="7"/>
      <c r="K21" s="5"/>
      <c r="L21" s="9"/>
      <c r="M21" s="8"/>
      <c r="N21" s="4"/>
      <c r="O21" s="4"/>
      <c r="P21" s="4"/>
      <c r="Q21" s="257"/>
      <c r="R21" s="258"/>
      <c r="S21" s="259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63"/>
      <c r="AT21" s="257"/>
      <c r="AU21" s="261">
        <f t="shared" si="8"/>
        <v>0.1875</v>
      </c>
      <c r="AV21" s="257"/>
      <c r="AX21" s="262">
        <f t="shared" si="9"/>
        <v>0.875</v>
      </c>
      <c r="AY21" s="262">
        <f t="shared" si="10"/>
        <v>0.4375</v>
      </c>
      <c r="AZ21" s="262">
        <f t="shared" si="11"/>
        <v>0.4375</v>
      </c>
    </row>
    <row r="22" spans="1:52" s="261" customFormat="1" ht="35.1" customHeight="1" x14ac:dyDescent="0.2">
      <c r="A22" s="254">
        <v>14</v>
      </c>
      <c r="B22" s="255" t="str">
        <f t="shared" si="6"/>
        <v/>
      </c>
      <c r="C22" s="256" t="str">
        <f t="shared" si="7"/>
        <v/>
      </c>
      <c r="D22" s="32" t="s">
        <v>82</v>
      </c>
      <c r="E22" s="5"/>
      <c r="F22" s="6"/>
      <c r="G22" s="5"/>
      <c r="H22" s="5"/>
      <c r="I22" s="3"/>
      <c r="J22" s="7"/>
      <c r="K22" s="5"/>
      <c r="L22" s="9"/>
      <c r="M22" s="8"/>
      <c r="N22" s="4"/>
      <c r="O22" s="4"/>
      <c r="P22" s="4"/>
      <c r="Q22" s="257"/>
      <c r="R22" s="258"/>
      <c r="S22" s="259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63"/>
      <c r="AT22" s="257"/>
      <c r="AU22" s="261">
        <f t="shared" si="8"/>
        <v>0.1875</v>
      </c>
      <c r="AV22" s="257"/>
      <c r="AX22" s="262">
        <f t="shared" si="9"/>
        <v>0.875</v>
      </c>
      <c r="AY22" s="262">
        <f t="shared" si="10"/>
        <v>0.4375</v>
      </c>
      <c r="AZ22" s="262">
        <f t="shared" si="11"/>
        <v>0.4375</v>
      </c>
    </row>
    <row r="23" spans="1:52" s="261" customFormat="1" ht="35.1" customHeight="1" x14ac:dyDescent="0.2">
      <c r="A23" s="254">
        <v>15</v>
      </c>
      <c r="B23" s="255" t="str">
        <f t="shared" si="6"/>
        <v/>
      </c>
      <c r="C23" s="256" t="str">
        <f t="shared" si="7"/>
        <v/>
      </c>
      <c r="D23" s="32" t="s">
        <v>82</v>
      </c>
      <c r="E23" s="5"/>
      <c r="F23" s="6"/>
      <c r="G23" s="5"/>
      <c r="H23" s="5"/>
      <c r="I23" s="3"/>
      <c r="J23" s="7"/>
      <c r="K23" s="5"/>
      <c r="L23" s="9"/>
      <c r="M23" s="8"/>
      <c r="N23" s="4"/>
      <c r="O23" s="4"/>
      <c r="P23" s="4"/>
      <c r="Q23" s="257"/>
      <c r="R23" s="258"/>
      <c r="S23" s="259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64"/>
      <c r="AT23" s="257"/>
      <c r="AU23" s="261">
        <f t="shared" si="8"/>
        <v>0.1875</v>
      </c>
      <c r="AV23" s="257"/>
      <c r="AX23" s="262">
        <f t="shared" si="9"/>
        <v>0.875</v>
      </c>
      <c r="AY23" s="262">
        <f t="shared" si="10"/>
        <v>0.4375</v>
      </c>
      <c r="AZ23" s="262">
        <f t="shared" si="11"/>
        <v>0.4375</v>
      </c>
    </row>
    <row r="24" spans="1:52" s="185" customFormat="1" ht="24.95" customHeight="1" x14ac:dyDescent="0.2">
      <c r="B24" s="186"/>
      <c r="C24" s="186"/>
      <c r="D24" s="173" t="e">
        <f>+#REF!</f>
        <v>#REF!</v>
      </c>
      <c r="E24" s="187"/>
      <c r="F24" s="187"/>
      <c r="G24" s="187"/>
      <c r="H24" s="187"/>
      <c r="I24" s="187"/>
      <c r="J24" s="187"/>
      <c r="K24" s="187"/>
      <c r="L24" s="265"/>
      <c r="M24" s="187"/>
      <c r="N24" s="187"/>
      <c r="O24" s="187"/>
      <c r="P24" s="187"/>
      <c r="Q24" s="188"/>
      <c r="R24" s="187"/>
      <c r="S24" s="189" t="s">
        <v>19</v>
      </c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T24" s="188"/>
      <c r="AV24" s="188"/>
    </row>
    <row r="25" spans="1:52" s="192" customFormat="1" ht="3.95" customHeight="1" x14ac:dyDescent="0.2">
      <c r="Q25" s="193"/>
      <c r="R25" s="196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T25" s="193"/>
      <c r="AV25" s="193"/>
    </row>
    <row r="28" spans="1:52" x14ac:dyDescent="0.2">
      <c r="E28" s="201" t="s">
        <v>102</v>
      </c>
    </row>
    <row r="29" spans="1:52" s="207" customFormat="1" x14ac:dyDescent="0.2">
      <c r="D29" s="199"/>
      <c r="E29" s="201" t="s">
        <v>103</v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8"/>
      <c r="R29" s="206"/>
      <c r="S29" s="19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T29" s="208"/>
      <c r="AV29" s="208"/>
    </row>
    <row r="30" spans="1:52" x14ac:dyDescent="0.2">
      <c r="B30" s="213"/>
      <c r="C30" s="213"/>
      <c r="E30" s="201" t="s">
        <v>104</v>
      </c>
    </row>
    <row r="31" spans="1:52" x14ac:dyDescent="0.2">
      <c r="E31" s="201" t="s">
        <v>107</v>
      </c>
    </row>
    <row r="32" spans="1:52" x14ac:dyDescent="0.2">
      <c r="B32" s="213"/>
      <c r="C32" s="213"/>
    </row>
    <row r="40" spans="4:4" x14ac:dyDescent="0.2">
      <c r="D40" s="207"/>
    </row>
    <row r="41" spans="4:4" x14ac:dyDescent="0.2">
      <c r="D41" s="213"/>
    </row>
    <row r="43" spans="4:4" x14ac:dyDescent="0.2">
      <c r="D43" s="213"/>
    </row>
  </sheetData>
  <sheetProtection password="CC2F" sheet="1" objects="1" scenarios="1"/>
  <mergeCells count="1">
    <mergeCell ref="D6:D7"/>
  </mergeCells>
  <phoneticPr fontId="0" type="noConversion"/>
  <pageMargins left="0.5" right="0.5" top="0.5" bottom="0.5" header="0.25" footer="0.22"/>
  <pageSetup scale="71" orientation="landscape" r:id="rId1"/>
  <headerFooter alignWithMargins="0">
    <oddFooter>&amp;L&amp;8Printed @ &amp;T on &amp;D&amp;CPage &amp;P of &amp;N&amp;R&amp;9Tab: &amp;A   in File: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2"/>
  <sheetViews>
    <sheetView zoomScaleNormal="100" zoomScaleSheetLayoutView="100" workbookViewId="0">
      <pane xSplit="5" ySplit="3" topLeftCell="F4" activePane="bottomRight" state="frozen"/>
      <selection activeCell="D11" sqref="D11"/>
      <selection pane="topRight" activeCell="D11" sqref="D11"/>
      <selection pane="bottomLeft" activeCell="D11" sqref="D11"/>
      <selection pane="bottomRight" activeCell="O19" sqref="O19"/>
    </sheetView>
  </sheetViews>
  <sheetFormatPr defaultColWidth="9.33203125" defaultRowHeight="15.75" x14ac:dyDescent="0.2"/>
  <cols>
    <col min="1" max="1" width="5.83203125" style="23" customWidth="1"/>
    <col min="2" max="2" width="15.83203125" style="34" customWidth="1"/>
    <col min="3" max="3" width="4.83203125" style="11" customWidth="1"/>
    <col min="4" max="4" width="1.83203125" style="11" customWidth="1"/>
    <col min="5" max="5" width="40.83203125" style="23" customWidth="1"/>
    <col min="6" max="6" width="1.83203125" style="23" customWidth="1"/>
    <col min="7" max="7" width="9.83203125" style="23" customWidth="1"/>
    <col min="8" max="8" width="11.6640625" style="23" bestFit="1" customWidth="1"/>
    <col min="9" max="9" width="9.83203125" style="23" customWidth="1"/>
    <col min="10" max="10" width="1.83203125" style="23" customWidth="1"/>
    <col min="11" max="11" width="33.6640625" style="23" bestFit="1" customWidth="1"/>
    <col min="12" max="12" width="1.83203125" style="25" customWidth="1"/>
    <col min="13" max="13" width="0.5" style="19" customWidth="1"/>
    <col min="14" max="16384" width="9.33203125" style="23"/>
  </cols>
  <sheetData>
    <row r="1" spans="1:13" s="34" customFormat="1" ht="24.95" customHeight="1" x14ac:dyDescent="0.2">
      <c r="A1" s="35" t="s">
        <v>60</v>
      </c>
      <c r="C1" s="11"/>
      <c r="D1" s="11"/>
      <c r="E1" s="36"/>
      <c r="F1" s="36"/>
      <c r="G1" s="36"/>
      <c r="H1" s="36"/>
      <c r="I1" s="36"/>
      <c r="J1" s="36"/>
      <c r="K1" s="36"/>
      <c r="L1" s="26"/>
      <c r="M1" s="37" t="s">
        <v>19</v>
      </c>
    </row>
    <row r="2" spans="1:13" s="34" customFormat="1" ht="24.95" customHeight="1" x14ac:dyDescent="0.2">
      <c r="B2" s="24" t="s">
        <v>128</v>
      </c>
      <c r="C2" s="12"/>
      <c r="D2" s="12"/>
      <c r="E2" s="38">
        <v>42303</v>
      </c>
      <c r="F2" s="282"/>
      <c r="G2" s="38"/>
      <c r="H2" s="38"/>
      <c r="I2" s="38"/>
      <c r="J2" s="38"/>
      <c r="K2" s="38"/>
      <c r="L2" s="26"/>
      <c r="M2" s="37"/>
    </row>
    <row r="3" spans="1:13" s="34" customFormat="1" ht="24.95" customHeight="1" x14ac:dyDescent="0.2">
      <c r="A3" s="39"/>
      <c r="B3" s="42"/>
      <c r="C3" s="12" t="s">
        <v>9</v>
      </c>
      <c r="D3" s="12"/>
      <c r="E3" s="13" t="s">
        <v>191</v>
      </c>
      <c r="F3" s="282"/>
      <c r="G3" s="24"/>
      <c r="I3" s="283" t="s">
        <v>192</v>
      </c>
      <c r="L3" s="26"/>
      <c r="M3" s="37"/>
    </row>
    <row r="4" spans="1:13" s="34" customFormat="1" ht="25.15" customHeight="1" x14ac:dyDescent="0.2">
      <c r="B4" s="24" t="s">
        <v>27</v>
      </c>
      <c r="C4" s="12">
        <v>5</v>
      </c>
      <c r="D4" s="12"/>
      <c r="E4" s="40" t="s">
        <v>28</v>
      </c>
      <c r="F4" s="282"/>
      <c r="G4" s="40"/>
      <c r="H4" s="24" t="s">
        <v>23</v>
      </c>
      <c r="I4" s="12">
        <v>1</v>
      </c>
      <c r="J4" s="12"/>
      <c r="K4" s="40" t="s">
        <v>24</v>
      </c>
      <c r="L4" s="26"/>
      <c r="M4" s="37"/>
    </row>
    <row r="5" spans="1:13" s="34" customFormat="1" ht="25.15" customHeight="1" x14ac:dyDescent="0.2">
      <c r="B5" s="24" t="s">
        <v>75</v>
      </c>
      <c r="C5" s="12">
        <v>17</v>
      </c>
      <c r="D5" s="12"/>
      <c r="E5" s="40" t="s">
        <v>59</v>
      </c>
      <c r="F5" s="282"/>
      <c r="G5" s="40"/>
      <c r="H5" s="24" t="s">
        <v>25</v>
      </c>
      <c r="I5" s="12">
        <v>2</v>
      </c>
      <c r="J5" s="12"/>
      <c r="K5" s="40" t="s">
        <v>26</v>
      </c>
      <c r="L5" s="26"/>
      <c r="M5" s="37"/>
    </row>
    <row r="6" spans="1:13" s="34" customFormat="1" ht="25.15" customHeight="1" x14ac:dyDescent="0.2">
      <c r="B6" s="24" t="s">
        <v>64</v>
      </c>
      <c r="C6" s="12">
        <v>16</v>
      </c>
      <c r="D6" s="12"/>
      <c r="E6" s="40" t="s">
        <v>58</v>
      </c>
      <c r="F6" s="282"/>
      <c r="G6" s="40"/>
      <c r="H6" s="24" t="s">
        <v>29</v>
      </c>
      <c r="I6" s="12">
        <v>3</v>
      </c>
      <c r="J6" s="12"/>
      <c r="K6" s="40" t="s">
        <v>30</v>
      </c>
      <c r="L6" s="26"/>
      <c r="M6" s="37"/>
    </row>
    <row r="7" spans="1:13" s="34" customFormat="1" ht="25.15" customHeight="1" x14ac:dyDescent="0.2">
      <c r="B7" s="24" t="s">
        <v>62</v>
      </c>
      <c r="C7" s="12">
        <v>14</v>
      </c>
      <c r="D7" s="12"/>
      <c r="E7" s="40" t="s">
        <v>56</v>
      </c>
      <c r="F7" s="282"/>
      <c r="G7" s="40"/>
      <c r="H7" s="24" t="s">
        <v>66</v>
      </c>
      <c r="I7" s="12">
        <v>4</v>
      </c>
      <c r="J7" s="12"/>
      <c r="K7" s="40" t="s">
        <v>40</v>
      </c>
      <c r="L7" s="26"/>
      <c r="M7" s="37"/>
    </row>
    <row r="8" spans="1:13" s="34" customFormat="1" ht="25.15" customHeight="1" x14ac:dyDescent="0.2">
      <c r="B8" s="24" t="s">
        <v>65</v>
      </c>
      <c r="C8" s="12">
        <v>18</v>
      </c>
      <c r="D8" s="12"/>
      <c r="E8" s="40" t="s">
        <v>61</v>
      </c>
      <c r="F8" s="282"/>
      <c r="G8" s="40"/>
      <c r="H8" s="24" t="s">
        <v>27</v>
      </c>
      <c r="I8" s="12">
        <v>5</v>
      </c>
      <c r="J8" s="12"/>
      <c r="K8" s="40" t="s">
        <v>28</v>
      </c>
      <c r="L8" s="26"/>
      <c r="M8" s="37"/>
    </row>
    <row r="9" spans="1:13" s="34" customFormat="1" ht="25.15" customHeight="1" x14ac:dyDescent="0.2">
      <c r="B9" s="24" t="s">
        <v>63</v>
      </c>
      <c r="C9" s="12">
        <v>15</v>
      </c>
      <c r="D9" s="12"/>
      <c r="E9" s="40" t="s">
        <v>57</v>
      </c>
      <c r="F9" s="282"/>
      <c r="G9" s="40"/>
      <c r="H9" s="24" t="s">
        <v>67</v>
      </c>
      <c r="I9" s="12">
        <v>6</v>
      </c>
      <c r="J9" s="12"/>
      <c r="K9" s="40" t="s">
        <v>31</v>
      </c>
      <c r="L9" s="26"/>
      <c r="M9" s="37"/>
    </row>
    <row r="10" spans="1:13" s="34" customFormat="1" ht="25.15" customHeight="1" x14ac:dyDescent="0.2">
      <c r="B10" s="24" t="s">
        <v>29</v>
      </c>
      <c r="C10" s="12">
        <v>3</v>
      </c>
      <c r="D10" s="12"/>
      <c r="E10" s="40" t="s">
        <v>30</v>
      </c>
      <c r="F10" s="282"/>
      <c r="G10" s="40"/>
      <c r="H10" s="24" t="s">
        <v>68</v>
      </c>
      <c r="I10" s="12">
        <v>7</v>
      </c>
      <c r="J10" s="12"/>
      <c r="K10" s="40" t="s">
        <v>32</v>
      </c>
      <c r="L10" s="26"/>
      <c r="M10" s="37"/>
    </row>
    <row r="11" spans="1:13" s="34" customFormat="1" ht="25.15" customHeight="1" x14ac:dyDescent="0.2">
      <c r="B11" s="24" t="s">
        <v>67</v>
      </c>
      <c r="C11" s="12">
        <v>6</v>
      </c>
      <c r="D11" s="12"/>
      <c r="E11" s="40" t="s">
        <v>31</v>
      </c>
      <c r="F11" s="282"/>
      <c r="G11" s="40"/>
      <c r="H11" s="24" t="s">
        <v>69</v>
      </c>
      <c r="I11" s="12">
        <v>8</v>
      </c>
      <c r="J11" s="12"/>
      <c r="K11" s="40" t="s">
        <v>33</v>
      </c>
      <c r="L11" s="26"/>
      <c r="M11" s="37"/>
    </row>
    <row r="12" spans="1:13" s="34" customFormat="1" ht="25.15" customHeight="1" x14ac:dyDescent="0.2">
      <c r="B12" s="24" t="s">
        <v>183</v>
      </c>
      <c r="C12" s="12">
        <v>22</v>
      </c>
      <c r="D12" s="12"/>
      <c r="E12" s="40" t="s">
        <v>184</v>
      </c>
      <c r="F12" s="282"/>
      <c r="G12" s="40"/>
      <c r="H12" s="24" t="s">
        <v>70</v>
      </c>
      <c r="I12" s="12">
        <v>9</v>
      </c>
      <c r="J12" s="12"/>
      <c r="K12" s="40" t="s">
        <v>42</v>
      </c>
      <c r="L12" s="26"/>
      <c r="M12" s="37"/>
    </row>
    <row r="13" spans="1:13" s="34" customFormat="1" ht="25.15" customHeight="1" x14ac:dyDescent="0.2">
      <c r="A13" s="41"/>
      <c r="B13" s="24" t="s">
        <v>70</v>
      </c>
      <c r="C13" s="12">
        <v>9</v>
      </c>
      <c r="D13" s="12"/>
      <c r="E13" s="40" t="s">
        <v>42</v>
      </c>
      <c r="F13" s="282"/>
      <c r="G13" s="40"/>
      <c r="H13" s="24" t="s">
        <v>71</v>
      </c>
      <c r="I13" s="12">
        <v>10</v>
      </c>
      <c r="J13" s="12"/>
      <c r="K13" s="40" t="s">
        <v>34</v>
      </c>
      <c r="L13" s="26"/>
      <c r="M13" s="37"/>
    </row>
    <row r="14" spans="1:13" s="34" customFormat="1" ht="25.15" customHeight="1" x14ac:dyDescent="0.2">
      <c r="B14" s="24" t="s">
        <v>220</v>
      </c>
      <c r="C14" s="34">
        <v>23</v>
      </c>
      <c r="D14" s="12"/>
      <c r="E14" s="40" t="s">
        <v>221</v>
      </c>
      <c r="F14" s="282"/>
      <c r="G14" s="40"/>
      <c r="H14" s="24" t="s">
        <v>72</v>
      </c>
      <c r="I14" s="12">
        <v>11</v>
      </c>
      <c r="J14" s="12"/>
      <c r="K14" s="40" t="s">
        <v>35</v>
      </c>
      <c r="L14" s="26"/>
      <c r="M14" s="37"/>
    </row>
    <row r="15" spans="1:13" s="34" customFormat="1" ht="25.15" customHeight="1" x14ac:dyDescent="0.2">
      <c r="B15" s="24" t="s">
        <v>74</v>
      </c>
      <c r="C15" s="12">
        <v>13</v>
      </c>
      <c r="D15" s="12"/>
      <c r="E15" s="40" t="s">
        <v>37</v>
      </c>
      <c r="F15" s="282"/>
      <c r="G15" s="40"/>
      <c r="H15" s="24" t="s">
        <v>73</v>
      </c>
      <c r="I15" s="12">
        <v>12</v>
      </c>
      <c r="J15" s="12"/>
      <c r="K15" s="40" t="s">
        <v>36</v>
      </c>
      <c r="L15" s="26"/>
      <c r="M15" s="37"/>
    </row>
    <row r="16" spans="1:13" s="34" customFormat="1" ht="25.15" customHeight="1" x14ac:dyDescent="0.2">
      <c r="B16" s="24" t="s">
        <v>141</v>
      </c>
      <c r="C16" s="12">
        <v>30</v>
      </c>
      <c r="D16" s="12"/>
      <c r="E16" s="40" t="s">
        <v>142</v>
      </c>
      <c r="F16" s="282"/>
      <c r="G16" s="40"/>
      <c r="H16" s="24" t="s">
        <v>74</v>
      </c>
      <c r="I16" s="12">
        <v>13</v>
      </c>
      <c r="J16" s="12"/>
      <c r="K16" s="40" t="s">
        <v>37</v>
      </c>
      <c r="L16" s="26"/>
      <c r="M16" s="37"/>
    </row>
    <row r="17" spans="2:13" s="34" customFormat="1" ht="25.15" customHeight="1" x14ac:dyDescent="0.2">
      <c r="B17" s="24" t="s">
        <v>23</v>
      </c>
      <c r="C17" s="12">
        <v>1</v>
      </c>
      <c r="D17" s="12"/>
      <c r="E17" s="40" t="s">
        <v>24</v>
      </c>
      <c r="F17" s="282"/>
      <c r="G17" s="40"/>
      <c r="H17" s="24" t="s">
        <v>62</v>
      </c>
      <c r="I17" s="12">
        <v>14</v>
      </c>
      <c r="J17" s="12"/>
      <c r="K17" s="40" t="s">
        <v>56</v>
      </c>
      <c r="L17" s="26"/>
      <c r="M17" s="37"/>
    </row>
    <row r="18" spans="2:13" s="34" customFormat="1" ht="25.15" customHeight="1" x14ac:dyDescent="0.2">
      <c r="B18" s="24" t="s">
        <v>68</v>
      </c>
      <c r="C18" s="12">
        <v>7</v>
      </c>
      <c r="D18" s="12"/>
      <c r="E18" s="40" t="s">
        <v>32</v>
      </c>
      <c r="F18" s="282"/>
      <c r="G18" s="40"/>
      <c r="H18" s="24" t="s">
        <v>63</v>
      </c>
      <c r="I18" s="12">
        <v>15</v>
      </c>
      <c r="J18" s="12"/>
      <c r="K18" s="40" t="s">
        <v>57</v>
      </c>
      <c r="L18" s="26"/>
      <c r="M18" s="37"/>
    </row>
    <row r="19" spans="2:13" s="34" customFormat="1" ht="25.15" customHeight="1" x14ac:dyDescent="0.2">
      <c r="B19" s="24" t="s">
        <v>25</v>
      </c>
      <c r="C19" s="12">
        <v>2</v>
      </c>
      <c r="D19" s="12"/>
      <c r="E19" s="40" t="s">
        <v>26</v>
      </c>
      <c r="F19" s="282"/>
      <c r="G19" s="40"/>
      <c r="H19" s="24" t="s">
        <v>64</v>
      </c>
      <c r="I19" s="12">
        <v>16</v>
      </c>
      <c r="J19" s="12"/>
      <c r="K19" s="40" t="s">
        <v>58</v>
      </c>
      <c r="L19" s="26"/>
      <c r="M19" s="37"/>
    </row>
    <row r="20" spans="2:13" s="34" customFormat="1" ht="25.15" customHeight="1" x14ac:dyDescent="0.2">
      <c r="B20" s="24" t="s">
        <v>181</v>
      </c>
      <c r="C20" s="12">
        <v>21</v>
      </c>
      <c r="D20" s="12"/>
      <c r="E20" s="40" t="s">
        <v>182</v>
      </c>
      <c r="F20" s="282"/>
      <c r="G20" s="40"/>
      <c r="H20" s="24" t="s">
        <v>75</v>
      </c>
      <c r="I20" s="12">
        <v>17</v>
      </c>
      <c r="J20" s="12"/>
      <c r="K20" s="40" t="s">
        <v>59</v>
      </c>
      <c r="L20" s="26"/>
      <c r="M20" s="37"/>
    </row>
    <row r="21" spans="2:13" s="34" customFormat="1" ht="25.15" customHeight="1" x14ac:dyDescent="0.2">
      <c r="B21" s="24" t="s">
        <v>71</v>
      </c>
      <c r="C21" s="12">
        <v>10</v>
      </c>
      <c r="D21" s="12"/>
      <c r="E21" s="40" t="s">
        <v>34</v>
      </c>
      <c r="F21" s="282"/>
      <c r="G21" s="40"/>
      <c r="H21" s="24" t="s">
        <v>65</v>
      </c>
      <c r="I21" s="12">
        <v>18</v>
      </c>
      <c r="J21" s="12"/>
      <c r="K21" s="40" t="s">
        <v>61</v>
      </c>
      <c r="L21" s="26"/>
      <c r="M21" s="37"/>
    </row>
    <row r="22" spans="2:13" s="34" customFormat="1" ht="25.15" customHeight="1" x14ac:dyDescent="0.2">
      <c r="B22" s="24" t="s">
        <v>79</v>
      </c>
      <c r="C22" s="12">
        <v>20</v>
      </c>
      <c r="D22" s="12"/>
      <c r="E22" s="40" t="s">
        <v>81</v>
      </c>
      <c r="F22" s="282"/>
      <c r="G22" s="40"/>
      <c r="H22" s="24" t="s">
        <v>78</v>
      </c>
      <c r="I22" s="12">
        <v>19</v>
      </c>
      <c r="J22" s="12"/>
      <c r="K22" s="40" t="s">
        <v>80</v>
      </c>
      <c r="L22" s="26"/>
      <c r="M22" s="37"/>
    </row>
    <row r="23" spans="2:13" s="34" customFormat="1" ht="25.15" customHeight="1" x14ac:dyDescent="0.2">
      <c r="B23" s="24" t="s">
        <v>78</v>
      </c>
      <c r="C23" s="12">
        <v>19</v>
      </c>
      <c r="D23" s="12"/>
      <c r="E23" s="40" t="s">
        <v>80</v>
      </c>
      <c r="F23" s="282"/>
      <c r="G23" s="40"/>
      <c r="H23" s="24" t="s">
        <v>79</v>
      </c>
      <c r="I23" s="12">
        <v>20</v>
      </c>
      <c r="J23" s="12"/>
      <c r="K23" s="40" t="s">
        <v>81</v>
      </c>
      <c r="L23" s="26"/>
      <c r="M23" s="37"/>
    </row>
    <row r="24" spans="2:13" s="34" customFormat="1" ht="24.95" customHeight="1" x14ac:dyDescent="0.2">
      <c r="B24" s="24" t="s">
        <v>69</v>
      </c>
      <c r="C24" s="12">
        <v>8</v>
      </c>
      <c r="D24" s="12"/>
      <c r="E24" s="40" t="s">
        <v>33</v>
      </c>
      <c r="F24" s="282"/>
      <c r="G24" s="40"/>
      <c r="H24" s="24" t="s">
        <v>181</v>
      </c>
      <c r="I24" s="12">
        <v>21</v>
      </c>
      <c r="J24" s="12"/>
      <c r="K24" s="40" t="s">
        <v>182</v>
      </c>
      <c r="L24" s="26"/>
      <c r="M24" s="37"/>
    </row>
    <row r="25" spans="2:13" s="34" customFormat="1" ht="24.95" customHeight="1" x14ac:dyDescent="0.2">
      <c r="B25" s="24" t="s">
        <v>73</v>
      </c>
      <c r="C25" s="12">
        <v>12</v>
      </c>
      <c r="D25" s="12"/>
      <c r="E25" s="40" t="s">
        <v>36</v>
      </c>
      <c r="F25" s="282"/>
      <c r="G25" s="40"/>
      <c r="H25" s="24" t="s">
        <v>183</v>
      </c>
      <c r="I25" s="12">
        <v>22</v>
      </c>
      <c r="J25" s="12"/>
      <c r="K25" s="40" t="s">
        <v>184</v>
      </c>
      <c r="L25" s="26"/>
      <c r="M25" s="37"/>
    </row>
    <row r="26" spans="2:13" s="34" customFormat="1" ht="24.95" customHeight="1" x14ac:dyDescent="0.2">
      <c r="B26" s="24" t="s">
        <v>72</v>
      </c>
      <c r="C26" s="12">
        <v>11</v>
      </c>
      <c r="D26" s="12"/>
      <c r="E26" s="40" t="s">
        <v>35</v>
      </c>
      <c r="F26" s="282"/>
      <c r="G26" s="40"/>
      <c r="H26" s="24" t="s">
        <v>220</v>
      </c>
      <c r="I26" s="34">
        <v>23</v>
      </c>
      <c r="J26" s="12"/>
      <c r="K26" s="40" t="s">
        <v>221</v>
      </c>
      <c r="L26" s="26"/>
      <c r="M26" s="37"/>
    </row>
    <row r="27" spans="2:13" s="34" customFormat="1" ht="24.95" customHeight="1" x14ac:dyDescent="0.2">
      <c r="B27" s="24" t="s">
        <v>66</v>
      </c>
      <c r="C27" s="12">
        <v>4</v>
      </c>
      <c r="D27" s="12"/>
      <c r="E27" s="40" t="s">
        <v>40</v>
      </c>
      <c r="F27" s="282"/>
      <c r="G27" s="40"/>
      <c r="H27" s="24" t="s">
        <v>141</v>
      </c>
      <c r="I27" s="12">
        <v>30</v>
      </c>
      <c r="J27" s="12"/>
      <c r="K27" s="40" t="s">
        <v>142</v>
      </c>
      <c r="L27" s="26"/>
      <c r="M27" s="37"/>
    </row>
    <row r="28" spans="2:13" s="34" customFormat="1" ht="24.95" customHeight="1" x14ac:dyDescent="0.2">
      <c r="B28" s="24" t="s">
        <v>233</v>
      </c>
      <c r="C28" s="12">
        <v>24</v>
      </c>
      <c r="D28" s="12"/>
      <c r="E28" s="40" t="s">
        <v>234</v>
      </c>
      <c r="F28" s="282"/>
      <c r="G28" s="40"/>
      <c r="H28" s="34" t="s">
        <v>233</v>
      </c>
      <c r="I28" s="34">
        <v>24</v>
      </c>
      <c r="K28" s="36" t="s">
        <v>234</v>
      </c>
      <c r="L28" s="26"/>
      <c r="M28" s="37"/>
    </row>
    <row r="29" spans="2:13" s="18" customFormat="1" ht="24.95" customHeight="1" x14ac:dyDescent="0.2">
      <c r="B29" s="14"/>
      <c r="C29" s="15"/>
      <c r="D29" s="15"/>
      <c r="E29" s="14"/>
      <c r="F29" s="14"/>
      <c r="G29" s="14"/>
      <c r="H29" s="14"/>
      <c r="I29" s="14"/>
      <c r="J29" s="14"/>
      <c r="K29" s="14"/>
      <c r="L29" s="16"/>
      <c r="M29" s="17" t="s">
        <v>19</v>
      </c>
    </row>
    <row r="30" spans="2:13" s="19" customFormat="1" ht="3.95" customHeight="1" x14ac:dyDescent="0.2">
      <c r="B30" s="22"/>
      <c r="C30" s="20"/>
      <c r="D30" s="20"/>
      <c r="L30" s="21"/>
    </row>
    <row r="32" spans="2:13" x14ac:dyDescent="0.2">
      <c r="E32" s="27"/>
      <c r="F32" s="27"/>
      <c r="G32" s="27"/>
      <c r="H32" s="27"/>
      <c r="I32" s="27"/>
      <c r="J32" s="27"/>
      <c r="K32" s="27"/>
    </row>
  </sheetData>
  <sheetProtection selectLockedCells="1" selectUnlockedCells="1"/>
  <sortState ref="B4:E27">
    <sortCondition ref="E4:E27"/>
  </sortState>
  <phoneticPr fontId="0" type="noConversion"/>
  <printOptions gridLines="1"/>
  <pageMargins left="0.34" right="0.21" top="0.35" bottom="0.41" header="0.25" footer="0.22"/>
  <pageSetup scale="72" orientation="landscape" r:id="rId1"/>
  <headerFooter alignWithMargins="0">
    <oddFooter>&amp;L&amp;8Printed @ &amp;T on &amp;D&amp;CPage &amp;P of &amp;N&amp;R&amp;9Tab: &amp;A   in File: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1"/>
  <sheetViews>
    <sheetView topLeftCell="A10" zoomScaleNormal="100" zoomScaleSheetLayoutView="100" workbookViewId="0"/>
  </sheetViews>
  <sheetFormatPr defaultColWidth="9.33203125" defaultRowHeight="15.75" x14ac:dyDescent="0.2"/>
  <cols>
    <col min="1" max="1" width="5.83203125" style="23" customWidth="1"/>
    <col min="2" max="2" width="45.83203125" style="34" customWidth="1"/>
    <col min="3" max="4" width="45.83203125" style="11" customWidth="1"/>
    <col min="5" max="5" width="15.83203125" style="23" customWidth="1"/>
    <col min="6" max="6" width="1.83203125" style="25" customWidth="1"/>
    <col min="7" max="7" width="0.5" style="19" customWidth="1"/>
    <col min="8" max="16384" width="9.33203125" style="23"/>
  </cols>
  <sheetData>
    <row r="1" spans="1:7" s="34" customFormat="1" ht="24.95" customHeight="1" x14ac:dyDescent="0.2">
      <c r="A1" s="10" t="s">
        <v>155</v>
      </c>
      <c r="C1" s="11"/>
      <c r="D1" s="11"/>
      <c r="E1" s="36"/>
      <c r="F1" s="26"/>
      <c r="G1" s="37" t="s">
        <v>19</v>
      </c>
    </row>
    <row r="2" spans="1:7" s="34" customFormat="1" ht="24.95" customHeight="1" x14ac:dyDescent="0.2">
      <c r="B2" s="24"/>
      <c r="C2" s="12"/>
      <c r="D2" s="12"/>
      <c r="E2" s="38"/>
      <c r="F2" s="26"/>
      <c r="G2" s="37"/>
    </row>
    <row r="3" spans="1:7" s="34" customFormat="1" ht="24.95" customHeight="1" x14ac:dyDescent="0.2">
      <c r="A3" s="39"/>
      <c r="B3" s="42"/>
      <c r="C3" s="12"/>
      <c r="D3" s="12"/>
      <c r="E3" s="24"/>
      <c r="F3" s="26"/>
      <c r="G3" s="37"/>
    </row>
    <row r="4" spans="1:7" s="34" customFormat="1" ht="25.15" customHeight="1" x14ac:dyDescent="0.2">
      <c r="B4" s="24"/>
      <c r="C4" s="12"/>
      <c r="D4" s="12"/>
      <c r="E4" s="40"/>
      <c r="F4" s="26"/>
      <c r="G4" s="37"/>
    </row>
    <row r="5" spans="1:7" s="34" customFormat="1" ht="25.15" customHeight="1" x14ac:dyDescent="0.2">
      <c r="B5" s="24"/>
      <c r="C5" s="12"/>
      <c r="D5" s="12"/>
      <c r="E5" s="40"/>
      <c r="F5" s="26"/>
      <c r="G5" s="37"/>
    </row>
    <row r="6" spans="1:7" s="34" customFormat="1" ht="25.15" customHeight="1" x14ac:dyDescent="0.2">
      <c r="B6" s="24"/>
      <c r="C6" s="12"/>
      <c r="D6" s="12"/>
      <c r="E6" s="40"/>
      <c r="F6" s="26"/>
      <c r="G6" s="37"/>
    </row>
    <row r="7" spans="1:7" s="34" customFormat="1" ht="25.15" customHeight="1" x14ac:dyDescent="0.2">
      <c r="B7" s="24"/>
      <c r="C7" s="12"/>
      <c r="D7" s="12"/>
      <c r="E7" s="40"/>
      <c r="F7" s="26"/>
      <c r="G7" s="37"/>
    </row>
    <row r="8" spans="1:7" s="34" customFormat="1" ht="25.15" customHeight="1" x14ac:dyDescent="0.2">
      <c r="B8" s="24"/>
      <c r="C8" s="12"/>
      <c r="D8" s="12"/>
      <c r="E8" s="40"/>
      <c r="F8" s="26"/>
      <c r="G8" s="37"/>
    </row>
    <row r="9" spans="1:7" s="34" customFormat="1" ht="25.15" customHeight="1" x14ac:dyDescent="0.2">
      <c r="B9" s="24"/>
      <c r="C9" s="12"/>
      <c r="D9" s="12"/>
      <c r="E9" s="40"/>
      <c r="F9" s="26"/>
      <c r="G9" s="37"/>
    </row>
    <row r="10" spans="1:7" s="34" customFormat="1" ht="25.15" customHeight="1" x14ac:dyDescent="0.2">
      <c r="A10" s="41"/>
      <c r="B10" s="24"/>
      <c r="C10" s="12"/>
      <c r="D10" s="12"/>
      <c r="E10" s="40"/>
      <c r="F10" s="26"/>
      <c r="G10" s="37"/>
    </row>
    <row r="11" spans="1:7" s="34" customFormat="1" ht="25.15" customHeight="1" x14ac:dyDescent="0.2">
      <c r="B11" s="24"/>
      <c r="C11" s="12"/>
      <c r="D11" s="12"/>
      <c r="E11" s="40"/>
      <c r="F11" s="26"/>
      <c r="G11" s="37"/>
    </row>
    <row r="12" spans="1:7" s="34" customFormat="1" ht="25.15" customHeight="1" x14ac:dyDescent="0.2">
      <c r="B12" s="24"/>
      <c r="C12" s="12"/>
      <c r="D12" s="12"/>
      <c r="E12" s="40"/>
      <c r="F12" s="26"/>
      <c r="G12" s="37"/>
    </row>
    <row r="13" spans="1:7" s="34" customFormat="1" ht="25.15" customHeight="1" x14ac:dyDescent="0.2">
      <c r="B13" s="24"/>
      <c r="C13" s="12"/>
      <c r="D13" s="12"/>
      <c r="E13" s="40"/>
      <c r="F13" s="26"/>
      <c r="G13" s="37"/>
    </row>
    <row r="14" spans="1:7" s="34" customFormat="1" ht="25.15" customHeight="1" x14ac:dyDescent="0.2">
      <c r="B14" s="24"/>
      <c r="C14" s="12"/>
      <c r="D14" s="12"/>
      <c r="E14" s="40"/>
      <c r="F14" s="26"/>
      <c r="G14" s="37"/>
    </row>
    <row r="15" spans="1:7" s="34" customFormat="1" ht="25.15" customHeight="1" x14ac:dyDescent="0.2">
      <c r="B15" s="24"/>
      <c r="C15" s="12"/>
      <c r="D15" s="12"/>
      <c r="E15" s="40"/>
      <c r="F15" s="26"/>
      <c r="G15" s="37"/>
    </row>
    <row r="16" spans="1:7" s="34" customFormat="1" ht="25.15" customHeight="1" x14ac:dyDescent="0.2">
      <c r="B16" s="24"/>
      <c r="C16" s="12"/>
      <c r="D16" s="12"/>
      <c r="E16" s="40"/>
      <c r="F16" s="26"/>
      <c r="G16" s="37"/>
    </row>
    <row r="17" spans="2:7" s="34" customFormat="1" ht="25.15" customHeight="1" x14ac:dyDescent="0.2">
      <c r="B17" s="24"/>
      <c r="C17" s="12"/>
      <c r="D17" s="12"/>
      <c r="E17" s="40"/>
      <c r="F17" s="26"/>
      <c r="G17" s="37"/>
    </row>
    <row r="18" spans="2:7" s="34" customFormat="1" ht="25.15" customHeight="1" x14ac:dyDescent="0.2">
      <c r="B18" s="24"/>
      <c r="C18" s="12"/>
      <c r="D18" s="12"/>
      <c r="E18" s="40"/>
      <c r="F18" s="26"/>
      <c r="G18" s="37"/>
    </row>
    <row r="19" spans="2:7" s="34" customFormat="1" ht="25.15" customHeight="1" x14ac:dyDescent="0.2">
      <c r="B19" s="24"/>
      <c r="C19" s="12"/>
      <c r="D19" s="12"/>
      <c r="E19" s="40"/>
      <c r="F19" s="26"/>
      <c r="G19" s="37"/>
    </row>
    <row r="20" spans="2:7" s="34" customFormat="1" ht="25.15" customHeight="1" x14ac:dyDescent="0.2">
      <c r="B20" s="24"/>
      <c r="C20" s="12"/>
      <c r="D20" s="12"/>
      <c r="E20" s="40"/>
      <c r="F20" s="26"/>
      <c r="G20" s="37"/>
    </row>
    <row r="21" spans="2:7" s="34" customFormat="1" ht="25.15" customHeight="1" x14ac:dyDescent="0.2">
      <c r="B21" s="24"/>
      <c r="C21" s="12"/>
      <c r="D21" s="12"/>
      <c r="E21" s="40"/>
      <c r="F21" s="26"/>
      <c r="G21" s="37"/>
    </row>
    <row r="22" spans="2:7" s="34" customFormat="1" ht="25.15" customHeight="1" x14ac:dyDescent="0.2">
      <c r="B22" s="24"/>
      <c r="C22" s="12"/>
      <c r="D22" s="12"/>
      <c r="E22" s="40"/>
      <c r="F22" s="26"/>
      <c r="G22" s="37"/>
    </row>
    <row r="23" spans="2:7" s="34" customFormat="1" ht="25.15" customHeight="1" x14ac:dyDescent="0.2">
      <c r="B23" s="24"/>
      <c r="C23" s="12"/>
      <c r="D23" s="12"/>
      <c r="E23" s="40"/>
      <c r="F23" s="26"/>
      <c r="G23" s="37"/>
    </row>
    <row r="24" spans="2:7" s="34" customFormat="1" ht="25.15" customHeight="1" x14ac:dyDescent="0.2">
      <c r="B24" s="24"/>
      <c r="C24" s="12"/>
      <c r="D24" s="12"/>
      <c r="E24" s="40"/>
      <c r="F24" s="26"/>
      <c r="G24" s="37"/>
    </row>
    <row r="25" spans="2:7" s="34" customFormat="1" ht="25.15" customHeight="1" x14ac:dyDescent="0.2">
      <c r="B25" s="24"/>
      <c r="C25" s="12"/>
      <c r="D25" s="12"/>
      <c r="E25" s="40"/>
      <c r="F25" s="26"/>
      <c r="G25" s="37"/>
    </row>
    <row r="26" spans="2:7" s="34" customFormat="1" ht="24.95" customHeight="1" x14ac:dyDescent="0.2">
      <c r="B26" s="24"/>
      <c r="C26" s="12"/>
      <c r="D26" s="12"/>
      <c r="E26" s="40"/>
      <c r="F26" s="26"/>
      <c r="G26" s="37"/>
    </row>
    <row r="27" spans="2:7" s="34" customFormat="1" ht="24.95" customHeight="1" x14ac:dyDescent="0.2">
      <c r="B27" s="24"/>
      <c r="C27" s="12"/>
      <c r="D27" s="12"/>
      <c r="E27" s="40"/>
      <c r="F27" s="26"/>
      <c r="G27" s="37"/>
    </row>
    <row r="28" spans="2:7" s="18" customFormat="1" ht="24.95" customHeight="1" x14ac:dyDescent="0.2">
      <c r="B28" s="14"/>
      <c r="C28" s="15"/>
      <c r="D28" s="15"/>
      <c r="E28" s="14"/>
      <c r="F28" s="16"/>
      <c r="G28" s="17" t="s">
        <v>19</v>
      </c>
    </row>
    <row r="29" spans="2:7" s="19" customFormat="1" ht="3.95" customHeight="1" x14ac:dyDescent="0.2">
      <c r="B29" s="22"/>
      <c r="C29" s="20"/>
      <c r="D29" s="20"/>
      <c r="F29" s="21"/>
    </row>
    <row r="31" spans="2:7" x14ac:dyDescent="0.2">
      <c r="E31" s="27"/>
    </row>
  </sheetData>
  <sheetProtection password="CC2F" sheet="1" objects="1" scenarios="1" selectLockedCells="1" selectUnlockedCells="1"/>
  <phoneticPr fontId="0" type="noConversion"/>
  <printOptions gridLines="1"/>
  <pageMargins left="0.84" right="0.21" top="0.35" bottom="0.41" header="0.25" footer="0.22"/>
  <pageSetup scale="80" orientation="landscape" r:id="rId1"/>
  <headerFooter alignWithMargins="0">
    <oddFooter>&amp;L&amp;8Printed @ &amp;T on &amp;D&amp;CPage &amp;P of &amp;N&amp;R&amp;9Tab: &amp;A   in File: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1"/>
  <sheetViews>
    <sheetView zoomScaleNormal="100" zoomScaleSheetLayoutView="100" workbookViewId="0">
      <selection activeCell="C1" sqref="C1"/>
    </sheetView>
  </sheetViews>
  <sheetFormatPr defaultColWidth="9.33203125" defaultRowHeight="15.75" x14ac:dyDescent="0.2"/>
  <cols>
    <col min="1" max="1" width="5.83203125" style="23" customWidth="1"/>
    <col min="2" max="2" width="45.83203125" style="34" customWidth="1"/>
    <col min="3" max="3" width="45.83203125" style="11" customWidth="1"/>
    <col min="4" max="4" width="40.1640625" style="11" customWidth="1"/>
    <col min="5" max="5" width="15.83203125" style="23" customWidth="1"/>
    <col min="6" max="6" width="1.83203125" style="25" customWidth="1"/>
    <col min="7" max="7" width="0.5" style="19" customWidth="1"/>
    <col min="8" max="16384" width="9.33203125" style="23"/>
  </cols>
  <sheetData>
    <row r="1" spans="1:7" s="34" customFormat="1" ht="24.95" customHeight="1" x14ac:dyDescent="0.2">
      <c r="A1" s="10" t="s">
        <v>222</v>
      </c>
      <c r="C1" s="11"/>
      <c r="D1" s="11"/>
      <c r="E1" s="36"/>
      <c r="F1" s="26"/>
      <c r="G1" s="37" t="s">
        <v>19</v>
      </c>
    </row>
    <row r="2" spans="1:7" s="34" customFormat="1" ht="24.95" customHeight="1" x14ac:dyDescent="0.2">
      <c r="B2" s="24"/>
      <c r="C2" s="12"/>
      <c r="D2" s="12"/>
      <c r="E2" s="38"/>
      <c r="F2" s="26"/>
      <c r="G2" s="37"/>
    </row>
    <row r="3" spans="1:7" s="34" customFormat="1" ht="24.95" customHeight="1" x14ac:dyDescent="0.2">
      <c r="A3" s="39"/>
      <c r="B3" s="42"/>
      <c r="C3" s="12"/>
      <c r="D3" s="12"/>
      <c r="E3" s="24"/>
      <c r="F3" s="26"/>
      <c r="G3" s="37"/>
    </row>
    <row r="4" spans="1:7" s="34" customFormat="1" ht="25.15" customHeight="1" x14ac:dyDescent="0.2">
      <c r="B4" s="24"/>
      <c r="C4" s="12"/>
      <c r="D4" s="12"/>
      <c r="E4" s="40"/>
      <c r="F4" s="26"/>
      <c r="G4" s="37"/>
    </row>
    <row r="5" spans="1:7" s="34" customFormat="1" ht="25.15" customHeight="1" x14ac:dyDescent="0.2">
      <c r="B5" s="24"/>
      <c r="C5" s="12"/>
      <c r="D5" s="12"/>
      <c r="E5" s="40"/>
      <c r="F5" s="26"/>
      <c r="G5" s="37"/>
    </row>
    <row r="6" spans="1:7" s="34" customFormat="1" ht="25.15" customHeight="1" x14ac:dyDescent="0.2">
      <c r="B6" s="24"/>
      <c r="C6" s="12"/>
      <c r="D6" s="12"/>
      <c r="E6" s="40"/>
      <c r="F6" s="26"/>
      <c r="G6" s="37"/>
    </row>
    <row r="7" spans="1:7" s="34" customFormat="1" ht="25.15" customHeight="1" x14ac:dyDescent="0.2">
      <c r="B7" s="24"/>
      <c r="C7" s="12"/>
      <c r="D7" s="12"/>
      <c r="E7" s="40"/>
      <c r="F7" s="26"/>
      <c r="G7" s="37"/>
    </row>
    <row r="8" spans="1:7" s="34" customFormat="1" ht="25.15" customHeight="1" x14ac:dyDescent="0.2">
      <c r="B8" s="24"/>
      <c r="C8" s="12"/>
      <c r="D8" s="12"/>
      <c r="E8" s="40"/>
      <c r="F8" s="26"/>
      <c r="G8" s="37"/>
    </row>
    <row r="9" spans="1:7" s="34" customFormat="1" ht="25.15" customHeight="1" x14ac:dyDescent="0.2">
      <c r="B9" s="24"/>
      <c r="C9" s="12"/>
      <c r="D9" s="12"/>
      <c r="E9" s="40"/>
      <c r="F9" s="26"/>
      <c r="G9" s="37"/>
    </row>
    <row r="10" spans="1:7" s="34" customFormat="1" ht="25.15" customHeight="1" x14ac:dyDescent="0.2">
      <c r="A10" s="41"/>
      <c r="B10" s="24"/>
      <c r="C10" s="12"/>
      <c r="D10" s="12"/>
      <c r="E10" s="40"/>
      <c r="F10" s="26"/>
      <c r="G10" s="37"/>
    </row>
    <row r="11" spans="1:7" s="34" customFormat="1" ht="25.15" customHeight="1" x14ac:dyDescent="0.2">
      <c r="B11" s="24"/>
      <c r="C11" s="12"/>
      <c r="D11" s="12"/>
      <c r="E11" s="40"/>
      <c r="F11" s="26"/>
      <c r="G11" s="37"/>
    </row>
    <row r="12" spans="1:7" s="34" customFormat="1" ht="25.15" customHeight="1" x14ac:dyDescent="0.2">
      <c r="B12" s="24"/>
      <c r="C12" s="12"/>
      <c r="D12" s="12"/>
      <c r="E12" s="40"/>
      <c r="F12" s="26"/>
      <c r="G12" s="37"/>
    </row>
    <row r="13" spans="1:7" s="34" customFormat="1" ht="25.15" customHeight="1" x14ac:dyDescent="0.2">
      <c r="B13" s="24"/>
      <c r="C13" s="12"/>
      <c r="D13" s="12"/>
      <c r="E13" s="40"/>
      <c r="F13" s="26"/>
      <c r="G13" s="37"/>
    </row>
    <row r="14" spans="1:7" s="34" customFormat="1" ht="25.15" customHeight="1" x14ac:dyDescent="0.2">
      <c r="B14" s="24"/>
      <c r="C14" s="12"/>
      <c r="D14" s="12"/>
      <c r="E14" s="40"/>
      <c r="F14" s="26"/>
      <c r="G14" s="37"/>
    </row>
    <row r="15" spans="1:7" s="34" customFormat="1" ht="25.15" customHeight="1" x14ac:dyDescent="0.2">
      <c r="B15" s="24"/>
      <c r="C15" s="12"/>
      <c r="D15" s="12"/>
      <c r="E15" s="40"/>
      <c r="F15" s="26"/>
      <c r="G15" s="37"/>
    </row>
    <row r="16" spans="1:7" s="34" customFormat="1" ht="25.15" customHeight="1" x14ac:dyDescent="0.2">
      <c r="B16" s="24"/>
      <c r="C16" s="12"/>
      <c r="D16" s="12"/>
      <c r="E16" s="40"/>
      <c r="F16" s="26"/>
      <c r="G16" s="37"/>
    </row>
    <row r="17" spans="2:7" s="34" customFormat="1" ht="25.15" customHeight="1" x14ac:dyDescent="0.2">
      <c r="B17" s="24"/>
      <c r="C17" s="12"/>
      <c r="D17" s="12"/>
      <c r="E17" s="40"/>
      <c r="F17" s="26"/>
      <c r="G17" s="37"/>
    </row>
    <row r="18" spans="2:7" s="34" customFormat="1" ht="25.15" customHeight="1" x14ac:dyDescent="0.2">
      <c r="B18" s="24"/>
      <c r="C18" s="12"/>
      <c r="D18" s="12"/>
      <c r="E18" s="40"/>
      <c r="F18" s="26"/>
      <c r="G18" s="37"/>
    </row>
    <row r="19" spans="2:7" s="34" customFormat="1" ht="25.15" customHeight="1" x14ac:dyDescent="0.2">
      <c r="B19" s="24"/>
      <c r="C19" s="12"/>
      <c r="D19" s="12"/>
      <c r="E19" s="40"/>
      <c r="F19" s="26"/>
      <c r="G19" s="37"/>
    </row>
    <row r="20" spans="2:7" s="34" customFormat="1" ht="25.15" customHeight="1" x14ac:dyDescent="0.2">
      <c r="B20" s="24"/>
      <c r="C20" s="12"/>
      <c r="D20" s="12"/>
      <c r="E20" s="40"/>
      <c r="F20" s="26"/>
      <c r="G20" s="37"/>
    </row>
    <row r="21" spans="2:7" s="34" customFormat="1" ht="25.15" customHeight="1" x14ac:dyDescent="0.2">
      <c r="B21" s="24"/>
      <c r="C21" s="12"/>
      <c r="D21" s="12"/>
      <c r="E21" s="40"/>
      <c r="F21" s="26"/>
      <c r="G21" s="37"/>
    </row>
    <row r="22" spans="2:7" s="34" customFormat="1" ht="25.15" customHeight="1" x14ac:dyDescent="0.2">
      <c r="B22" s="24"/>
      <c r="C22" s="12"/>
      <c r="D22" s="12"/>
      <c r="E22" s="40"/>
      <c r="F22" s="26"/>
      <c r="G22" s="37"/>
    </row>
    <row r="23" spans="2:7" s="34" customFormat="1" ht="25.15" customHeight="1" x14ac:dyDescent="0.2">
      <c r="B23" s="24"/>
      <c r="C23" s="12"/>
      <c r="D23" s="12"/>
      <c r="E23" s="40"/>
      <c r="F23" s="26"/>
      <c r="G23" s="37"/>
    </row>
    <row r="24" spans="2:7" s="34" customFormat="1" ht="25.15" customHeight="1" x14ac:dyDescent="0.2">
      <c r="B24" s="24"/>
      <c r="C24" s="12"/>
      <c r="D24" s="12"/>
      <c r="E24" s="40"/>
      <c r="F24" s="26"/>
      <c r="G24" s="37"/>
    </row>
    <row r="25" spans="2:7" s="34" customFormat="1" ht="25.15" customHeight="1" x14ac:dyDescent="0.2">
      <c r="B25" s="24"/>
      <c r="C25" s="12"/>
      <c r="D25" s="12"/>
      <c r="E25" s="40"/>
      <c r="F25" s="26"/>
      <c r="G25" s="37"/>
    </row>
    <row r="26" spans="2:7" s="34" customFormat="1" ht="24.95" customHeight="1" x14ac:dyDescent="0.2">
      <c r="B26" s="24"/>
      <c r="C26" s="12"/>
      <c r="D26" s="12"/>
      <c r="E26" s="40"/>
      <c r="F26" s="26"/>
      <c r="G26" s="37"/>
    </row>
    <row r="27" spans="2:7" s="34" customFormat="1" ht="24.95" customHeight="1" x14ac:dyDescent="0.2">
      <c r="B27" s="24"/>
      <c r="C27" s="12"/>
      <c r="D27" s="12"/>
      <c r="E27" s="40"/>
      <c r="F27" s="26"/>
      <c r="G27" s="37"/>
    </row>
    <row r="28" spans="2:7" s="18" customFormat="1" ht="24.95" customHeight="1" x14ac:dyDescent="0.2">
      <c r="B28" s="14"/>
      <c r="C28" s="15"/>
      <c r="D28" s="15"/>
      <c r="E28" s="14"/>
      <c r="F28" s="16"/>
      <c r="G28" s="17" t="s">
        <v>19</v>
      </c>
    </row>
    <row r="29" spans="2:7" s="19" customFormat="1" ht="3.95" customHeight="1" x14ac:dyDescent="0.2">
      <c r="B29" s="22"/>
      <c r="C29" s="20"/>
      <c r="D29" s="20"/>
      <c r="F29" s="21"/>
    </row>
    <row r="31" spans="2:7" x14ac:dyDescent="0.2">
      <c r="E31" s="27"/>
    </row>
  </sheetData>
  <sheetProtection password="CC2F" sheet="1" objects="1" scenarios="1" selectLockedCells="1" selectUnlockedCells="1"/>
  <printOptions gridLines="1"/>
  <pageMargins left="0.84" right="0.21" top="0.35" bottom="0.41" header="0.25" footer="0.22"/>
  <pageSetup scale="80" orientation="landscape" r:id="rId1"/>
  <headerFooter alignWithMargins="0">
    <oddFooter>&amp;L&amp;8Printed @ &amp;T on &amp;D&amp;CPage &amp;P of &amp;N&amp;R&amp;9Tab: &amp;A   in File: 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61"/>
  <sheetViews>
    <sheetView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B3" sqref="B3:AF3"/>
    </sheetView>
  </sheetViews>
  <sheetFormatPr defaultColWidth="8.83203125" defaultRowHeight="15" x14ac:dyDescent="0.25"/>
  <cols>
    <col min="1" max="1" width="8.83203125" style="304"/>
    <col min="2" max="4" width="0" style="304" hidden="1" customWidth="1"/>
    <col min="5" max="5" width="0.83203125" style="304" hidden="1" customWidth="1"/>
    <col min="6" max="8" width="0" style="304" hidden="1" customWidth="1"/>
    <col min="9" max="9" width="0.5" style="305" hidden="1" customWidth="1"/>
    <col min="10" max="32" width="0" style="304" hidden="1" customWidth="1"/>
    <col min="33" max="16384" width="8.83203125" style="304"/>
  </cols>
  <sheetData>
    <row r="1" spans="1:29" ht="45" x14ac:dyDescent="0.25">
      <c r="A1" s="302" t="s">
        <v>202</v>
      </c>
      <c r="B1" s="303" t="s">
        <v>203</v>
      </c>
      <c r="C1" s="303" t="s">
        <v>204</v>
      </c>
      <c r="D1" s="303" t="s">
        <v>205</v>
      </c>
      <c r="F1" s="303" t="s">
        <v>206</v>
      </c>
      <c r="Y1" s="303"/>
      <c r="Z1" s="303"/>
    </row>
    <row r="2" spans="1:29" x14ac:dyDescent="0.25">
      <c r="A2" s="306" t="s">
        <v>207</v>
      </c>
      <c r="B2" s="303" t="s">
        <v>100</v>
      </c>
      <c r="C2" s="303" t="s">
        <v>100</v>
      </c>
      <c r="D2" s="303" t="s">
        <v>100</v>
      </c>
      <c r="F2" s="303" t="s">
        <v>100</v>
      </c>
      <c r="G2" s="303" t="s">
        <v>208</v>
      </c>
      <c r="Y2" s="303" t="s">
        <v>100</v>
      </c>
      <c r="Z2" s="303" t="s">
        <v>208</v>
      </c>
      <c r="AA2" s="303" t="s">
        <v>208</v>
      </c>
      <c r="AB2" s="303" t="s">
        <v>209</v>
      </c>
      <c r="AC2" s="303" t="s">
        <v>210</v>
      </c>
    </row>
    <row r="3" spans="1:29" x14ac:dyDescent="0.25">
      <c r="B3" s="303" t="s">
        <v>211</v>
      </c>
      <c r="C3" s="303" t="s">
        <v>212</v>
      </c>
      <c r="D3" s="303" t="s">
        <v>213</v>
      </c>
      <c r="F3" s="303" t="s">
        <v>214</v>
      </c>
      <c r="G3" s="303" t="s">
        <v>215</v>
      </c>
      <c r="Y3" s="303" t="s">
        <v>216</v>
      </c>
      <c r="Z3" s="303" t="s">
        <v>215</v>
      </c>
      <c r="AA3" s="303" t="s">
        <v>217</v>
      </c>
      <c r="AB3" s="303" t="s">
        <v>100</v>
      </c>
      <c r="AC3" s="303" t="s">
        <v>100</v>
      </c>
    </row>
    <row r="4" spans="1:29" hidden="1" x14ac:dyDescent="0.25">
      <c r="B4" s="307">
        <v>12</v>
      </c>
      <c r="C4" s="307">
        <v>74.5</v>
      </c>
      <c r="D4" s="307">
        <v>27.25</v>
      </c>
      <c r="F4" s="308">
        <f>+AB4</f>
        <v>76.044805871275656</v>
      </c>
      <c r="G4" s="309">
        <f>+Z4</f>
        <v>11.568519020424301</v>
      </c>
      <c r="Y4" s="310">
        <f>+D4-B4</f>
        <v>15.25</v>
      </c>
      <c r="Z4" s="310">
        <f>DEGREES(ATAN(Y4/C4))</f>
        <v>11.568519020424301</v>
      </c>
      <c r="AA4" s="310">
        <f>90-Z4</f>
        <v>78.431480979575696</v>
      </c>
      <c r="AB4" s="310">
        <f>+SQRT(C4*C4+Y4*Y4)</f>
        <v>76.044805871275656</v>
      </c>
    </row>
    <row r="5" spans="1:29" hidden="1" x14ac:dyDescent="0.25">
      <c r="G5" s="309">
        <f>90-G4</f>
        <v>78.431480979575696</v>
      </c>
    </row>
    <row r="6" spans="1:29" hidden="1" x14ac:dyDescent="0.25">
      <c r="B6" s="311" t="s">
        <v>218</v>
      </c>
      <c r="C6" s="307"/>
    </row>
    <row r="7" spans="1:29" hidden="1" x14ac:dyDescent="0.25"/>
    <row r="8" spans="1:29" ht="15.75" hidden="1" x14ac:dyDescent="0.25">
      <c r="B8" s="312" t="s">
        <v>219</v>
      </c>
    </row>
    <row r="9" spans="1:29" hidden="1" x14ac:dyDescent="0.25"/>
    <row r="10" spans="1:29" hidden="1" x14ac:dyDescent="0.25"/>
    <row r="11" spans="1:29" hidden="1" x14ac:dyDescent="0.25"/>
    <row r="12" spans="1:29" ht="15.75" hidden="1" x14ac:dyDescent="0.25">
      <c r="B12" s="312"/>
    </row>
    <row r="13" spans="1:29" hidden="1" x14ac:dyDescent="0.25"/>
    <row r="14" spans="1:29" hidden="1" x14ac:dyDescent="0.25"/>
    <row r="15" spans="1:29" hidden="1" x14ac:dyDescent="0.25"/>
    <row r="16" spans="1:29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s="305" customFormat="1" ht="4.1500000000000004" hidden="1" customHeight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sheetProtection password="CC2F" sheet="1" objects="1" scenarios="1"/>
  <printOptions gridLines="1"/>
  <pageMargins left="0.7" right="0.7" top="0.75" bottom="0.75" header="0.3" footer="0.3"/>
  <pageSetup orientation="portrait" verticalDpi="0" r:id="rId1"/>
  <headerFooter>
    <oddFooter>&amp;L&amp;"Times New Roman,Regular"&amp;8Printed @ &amp;T on &amp;D&amp;R&amp;"Times New Roman,Regular"&amp;8Tab: &amp;A in File: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WDI_Standard_Order_Form</vt:lpstr>
      <vt:lpstr>OSC_Calcs</vt:lpstr>
      <vt:lpstr>Colors</vt:lpstr>
      <vt:lpstr>Stool_Template</vt:lpstr>
      <vt:lpstr>Round_top_Template</vt:lpstr>
      <vt:lpstr>Trapezoid_Sheet_v3</vt:lpstr>
      <vt:lpstr>JK</vt:lpstr>
      <vt:lpstr>OSC_Calcs!Label_Range_Area</vt:lpstr>
      <vt:lpstr>WDI_Standard_Order_Form!LS</vt:lpstr>
      <vt:lpstr>Page1</vt:lpstr>
      <vt:lpstr>Colors!Print_Area</vt:lpstr>
      <vt:lpstr>OSC_Calcs!Print_Area</vt:lpstr>
      <vt:lpstr>Round_top_Template!Print_Area</vt:lpstr>
      <vt:lpstr>Stool_Template!Print_Area</vt:lpstr>
      <vt:lpstr>Trapezoid_Sheet_v3!Print_Area</vt:lpstr>
      <vt:lpstr>WDI_Standard_Order_Form!Print_Area</vt:lpstr>
      <vt:lpstr>Colors!Print_Titles</vt:lpstr>
      <vt:lpstr>OSC_Calcs!Print_Titles</vt:lpstr>
      <vt:lpstr>Round_top_Template!Print_Titles</vt:lpstr>
      <vt:lpstr>Stool_Template!Print_Titles</vt:lpstr>
      <vt:lpstr>Trapezoid_Sheet_v3!Print_Titles</vt:lpstr>
      <vt:lpstr>WDI_Standard_Order_Form!Print_Titles</vt:lpstr>
    </vt:vector>
  </TitlesOfParts>
  <Company>Wood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Kohler</dc:creator>
  <cp:lastModifiedBy>Tyler Isaacson</cp:lastModifiedBy>
  <cp:lastPrinted>2017-11-11T15:05:17Z</cp:lastPrinted>
  <dcterms:created xsi:type="dcterms:W3CDTF">2006-11-04T19:01:52Z</dcterms:created>
  <dcterms:modified xsi:type="dcterms:W3CDTF">2018-02-13T15:02:13Z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1102433333</vt:i4>
  </property>
  <property fmtid="{D5CDD505-2E9C-101B-9397-08002B2CF9AE}" pid="3" name="_NewReviewCycle">
    <vt:lpwstr/>
  </property>
  <property fmtid="{D5CDD505-2E9C-101B-9397-08002B2CF9AE}" pid="4" name="_EmailSubject">
    <vt:lpwstr>Update</vt:lpwstr>
  </property>
  <property fmtid="{D5CDD505-2E9C-101B-9397-08002B2CF9AE}" pid="5" name="_AuthorEmail">
    <vt:lpwstr>jimk3673@msn.com</vt:lpwstr>
  </property>
  <property fmtid="{D5CDD505-2E9C-101B-9397-08002B2CF9AE}" pid="6" name="_AuthorEmailDisplayName">
    <vt:lpwstr>Jim Kohler</vt:lpwstr>
  </property>
  <property fmtid="{D5CDD505-2E9C-101B-9397-08002B2CF9AE}" pid="7" name="_ReviewingToolsShownOnce">
    <vt:lpwstr/>
  </property>
</Properties>
</file>